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Anzinger\Documents\HTML\download\"/>
    </mc:Choice>
  </mc:AlternateContent>
  <bookViews>
    <workbookView xWindow="-105" yWindow="-105" windowWidth="23250" windowHeight="12450"/>
  </bookViews>
  <sheets>
    <sheet name="Filmtest" sheetId="1" r:id="rId1"/>
  </sheets>
  <definedNames>
    <definedName name="_xlnm.Print_Area" localSheetId="0">Filmtest!$A$1:$G$55</definedName>
    <definedName name="german">Filmtest!$AB$55</definedName>
    <definedName name="language">Filmtest!$AB$55</definedName>
    <definedName name="LO_eng">Filmtest!$AG$55</definedName>
  </definedNames>
  <calcPr calcId="152511" iterateDelta="1E-13"/>
</workbook>
</file>

<file path=xl/calcChain.xml><?xml version="1.0" encoding="utf-8"?>
<calcChain xmlns="http://schemas.openxmlformats.org/spreadsheetml/2006/main">
  <c r="I3" i="1" l="1"/>
  <c r="S6" i="1"/>
  <c r="S8" i="1"/>
  <c r="N11" i="1" l="1"/>
  <c r="N12" i="1"/>
  <c r="Q8" i="1"/>
  <c r="Q7" i="1"/>
  <c r="R8" i="1"/>
  <c r="N9" i="1" l="1"/>
  <c r="S20" i="1" l="1"/>
  <c r="Q20" i="1"/>
  <c r="S19" i="1"/>
  <c r="Q19" i="1"/>
  <c r="R12" i="1"/>
  <c r="Q12" i="1"/>
  <c r="S10" i="1"/>
  <c r="Q10" i="1"/>
  <c r="S9" i="1"/>
  <c r="Q9" i="1"/>
  <c r="R10" i="1"/>
  <c r="S7" i="1"/>
  <c r="Q6" i="1"/>
  <c r="Q5" i="1"/>
  <c r="Q4" i="1"/>
  <c r="I7" i="1" l="1"/>
  <c r="J7" i="1"/>
  <c r="N10" i="1" l="1"/>
  <c r="N8" i="1"/>
  <c r="G13" i="1" l="1"/>
  <c r="F13" i="1"/>
  <c r="E13" i="1"/>
  <c r="D13" i="1"/>
  <c r="B13" i="1"/>
  <c r="G11" i="1"/>
  <c r="F11" i="1"/>
  <c r="E11" i="1"/>
  <c r="D11" i="1"/>
  <c r="B11" i="1"/>
  <c r="AC31" i="1" l="1"/>
  <c r="AD31" i="1"/>
  <c r="AE31" i="1"/>
  <c r="AF31" i="1"/>
  <c r="AG31" i="1"/>
  <c r="AC32" i="1"/>
  <c r="AD32" i="1"/>
  <c r="AE32" i="1"/>
  <c r="AF32" i="1"/>
  <c r="AG32" i="1"/>
  <c r="AC33" i="1"/>
  <c r="AD33" i="1"/>
  <c r="AE33" i="1"/>
  <c r="AF33" i="1"/>
  <c r="AG33" i="1"/>
  <c r="AC34" i="1"/>
  <c r="AD34" i="1"/>
  <c r="AE34" i="1"/>
  <c r="AF34" i="1"/>
  <c r="AG34" i="1"/>
  <c r="AC35" i="1"/>
  <c r="AD35" i="1"/>
  <c r="AE35" i="1"/>
  <c r="AF35" i="1"/>
  <c r="AG35" i="1"/>
  <c r="AC36" i="1"/>
  <c r="AD36" i="1"/>
  <c r="AE36" i="1"/>
  <c r="AF36" i="1"/>
  <c r="AG36" i="1"/>
  <c r="AC37" i="1"/>
  <c r="AD37" i="1"/>
  <c r="AE37" i="1"/>
  <c r="AF37" i="1"/>
  <c r="AG37" i="1"/>
  <c r="AC38" i="1"/>
  <c r="AD38" i="1"/>
  <c r="AE38" i="1"/>
  <c r="AF38" i="1"/>
  <c r="AG38" i="1"/>
  <c r="AC39" i="1"/>
  <c r="AD39" i="1"/>
  <c r="AE39" i="1"/>
  <c r="AF39" i="1"/>
  <c r="AG39" i="1"/>
  <c r="AC40" i="1"/>
  <c r="AD40" i="1"/>
  <c r="AE40" i="1"/>
  <c r="AF40" i="1"/>
  <c r="AG40" i="1"/>
  <c r="AC41" i="1"/>
  <c r="AD41" i="1"/>
  <c r="AE41" i="1"/>
  <c r="AF41" i="1"/>
  <c r="AG41" i="1"/>
  <c r="AC42" i="1"/>
  <c r="AD42" i="1"/>
  <c r="AE42" i="1"/>
  <c r="AF42" i="1"/>
  <c r="AG42" i="1"/>
  <c r="AC43" i="1"/>
  <c r="AD43" i="1"/>
  <c r="AE43" i="1"/>
  <c r="AF43" i="1"/>
  <c r="AG43" i="1"/>
  <c r="AC44" i="1"/>
  <c r="AD44" i="1"/>
  <c r="AE44" i="1"/>
  <c r="AF44" i="1"/>
  <c r="AG44" i="1"/>
  <c r="AB42" i="1"/>
  <c r="AB38" i="1"/>
  <c r="AB39" i="1"/>
  <c r="AB40" i="1"/>
  <c r="AB41" i="1"/>
  <c r="AB43" i="1"/>
  <c r="AB37" i="1"/>
  <c r="AB36" i="1"/>
  <c r="AB35" i="1"/>
  <c r="AB32" i="1"/>
  <c r="AB33" i="1"/>
  <c r="AB34" i="1"/>
  <c r="AB44" i="1"/>
  <c r="AB31" i="1"/>
  <c r="AL24" i="1" l="1"/>
  <c r="AM28" i="1"/>
  <c r="AB24" i="1"/>
  <c r="AC24" i="1" s="1"/>
  <c r="AD24" i="1" s="1"/>
  <c r="AE24" i="1" s="1"/>
  <c r="AF24" i="1" s="1"/>
  <c r="AG24" i="1" s="1"/>
  <c r="AM26" i="1" l="1"/>
  <c r="AM27" i="1"/>
  <c r="AB25" i="1"/>
  <c r="AB26" i="1" s="1"/>
  <c r="AC25" i="1" l="1"/>
  <c r="A29" i="1"/>
  <c r="AD25" i="1" l="1"/>
  <c r="AC26" i="1"/>
  <c r="H29" i="1"/>
  <c r="H28" i="1"/>
  <c r="H27" i="1"/>
  <c r="AE25" i="1" l="1"/>
  <c r="AD26" i="1"/>
  <c r="AI10" i="1"/>
  <c r="AI11" i="1" s="1"/>
  <c r="AI12" i="1" s="1"/>
  <c r="AI13" i="1" s="1"/>
  <c r="AI14" i="1" s="1"/>
  <c r="AI15" i="1" s="1"/>
  <c r="AI16" i="1" s="1"/>
  <c r="AI17" i="1" s="1"/>
  <c r="AI18" i="1" s="1"/>
  <c r="AI19" i="1" s="1"/>
  <c r="AK10" i="1"/>
  <c r="AK11" i="1" s="1"/>
  <c r="AK12" i="1" s="1"/>
  <c r="AK13" i="1" s="1"/>
  <c r="AK14" i="1" s="1"/>
  <c r="AK15" i="1" s="1"/>
  <c r="AK16" i="1" s="1"/>
  <c r="AK17" i="1" s="1"/>
  <c r="AK18" i="1" s="1"/>
  <c r="AK19" i="1" s="1"/>
  <c r="AJ10" i="1"/>
  <c r="AJ11" i="1" s="1"/>
  <c r="AJ12" i="1" s="1"/>
  <c r="AJ13" i="1" s="1"/>
  <c r="AJ14" i="1" s="1"/>
  <c r="AJ15" i="1" s="1"/>
  <c r="AJ16" i="1" s="1"/>
  <c r="AJ17" i="1" s="1"/>
  <c r="AJ18" i="1" s="1"/>
  <c r="AJ19" i="1" s="1"/>
  <c r="I47" i="1"/>
  <c r="A23" i="1"/>
  <c r="AB54" i="1"/>
  <c r="AB53" i="1"/>
  <c r="AB56" i="1"/>
  <c r="AG55" i="1" s="1"/>
  <c r="AC22" i="1"/>
  <c r="AD22" i="1"/>
  <c r="AE22" i="1"/>
  <c r="AF22" i="1"/>
  <c r="AG22" i="1"/>
  <c r="AB22" i="1"/>
  <c r="AE26" i="1" l="1"/>
  <c r="AC50" i="1"/>
  <c r="AC46" i="1"/>
  <c r="AG50" i="1"/>
  <c r="AG46" i="1"/>
  <c r="AD46" i="1"/>
  <c r="AD50" i="1"/>
  <c r="AB50" i="1"/>
  <c r="AB46" i="1"/>
  <c r="AE46" i="1"/>
  <c r="AE50" i="1"/>
  <c r="AF50" i="1"/>
  <c r="AF46" i="1"/>
  <c r="I52" i="1"/>
  <c r="I53" i="1"/>
  <c r="H51" i="1"/>
  <c r="H53" i="1"/>
  <c r="I50" i="1"/>
  <c r="I51" i="1"/>
  <c r="A3" i="1"/>
  <c r="I42" i="1"/>
  <c r="AF25" i="1" l="1"/>
  <c r="AF26" i="1" s="1"/>
  <c r="AG25" i="1"/>
  <c r="AG26" i="1" s="1"/>
  <c r="AE49" i="1"/>
  <c r="AF49" i="1"/>
  <c r="AG49" i="1"/>
  <c r="AB48" i="1"/>
  <c r="AC47" i="1"/>
  <c r="AD47" i="1"/>
  <c r="AE47" i="1"/>
  <c r="AF47" i="1"/>
  <c r="AG47" i="1"/>
  <c r="AB49" i="1"/>
  <c r="AB21" i="1"/>
  <c r="AB27" i="1" s="1"/>
  <c r="J8" i="1" s="1"/>
  <c r="I45" i="1"/>
  <c r="I46" i="1"/>
  <c r="I44" i="1"/>
  <c r="J42" i="1"/>
  <c r="J33" i="1"/>
  <c r="I33" i="1"/>
  <c r="I30" i="1"/>
  <c r="K30" i="1"/>
  <c r="K31" i="1"/>
  <c r="K32" i="1"/>
  <c r="I29" i="1"/>
  <c r="A6" i="1"/>
  <c r="A25" i="1"/>
  <c r="A24" i="1"/>
  <c r="A22" i="1"/>
  <c r="A21" i="1"/>
  <c r="A5" i="1"/>
  <c r="A4" i="1"/>
  <c r="A2" i="1"/>
  <c r="A1" i="1"/>
  <c r="AG48" i="1" l="1"/>
  <c r="AF48" i="1"/>
  <c r="AE48" i="1"/>
  <c r="AC48" i="1"/>
  <c r="AD48" i="1"/>
  <c r="AC49" i="1"/>
  <c r="AD49" i="1"/>
  <c r="AB47" i="1"/>
  <c r="AE51" i="1"/>
  <c r="AF51" i="1"/>
  <c r="AB51" i="1"/>
  <c r="AD51" i="1"/>
  <c r="AG20" i="1" l="1"/>
  <c r="AF20" i="1"/>
  <c r="AE20" i="1"/>
  <c r="AD20" i="1"/>
  <c r="AC20" i="1"/>
  <c r="AB20" i="1"/>
  <c r="AG19" i="1"/>
  <c r="AF19" i="1"/>
  <c r="AE19" i="1"/>
  <c r="AD19" i="1"/>
  <c r="AC19" i="1"/>
  <c r="AB19" i="1"/>
  <c r="AG18" i="1"/>
  <c r="AF18" i="1"/>
  <c r="AE18" i="1"/>
  <c r="AD18" i="1"/>
  <c r="AC18" i="1"/>
  <c r="AB18" i="1"/>
  <c r="AG17" i="1"/>
  <c r="AF17" i="1"/>
  <c r="AE17" i="1"/>
  <c r="AD17" i="1"/>
  <c r="AC17" i="1"/>
  <c r="AB17" i="1"/>
  <c r="AG16" i="1"/>
  <c r="AF16" i="1"/>
  <c r="AE16" i="1"/>
  <c r="AD16" i="1"/>
  <c r="AC16" i="1"/>
  <c r="AB16" i="1"/>
  <c r="AG15" i="1"/>
  <c r="AF15" i="1"/>
  <c r="AE15" i="1"/>
  <c r="AD15" i="1"/>
  <c r="AC15" i="1"/>
  <c r="AB15" i="1"/>
  <c r="AG14" i="1"/>
  <c r="AF14" i="1"/>
  <c r="AE14" i="1"/>
  <c r="AD14" i="1"/>
  <c r="AC14" i="1"/>
  <c r="AB14" i="1"/>
  <c r="AG13" i="1"/>
  <c r="AF13" i="1"/>
  <c r="AE13" i="1"/>
  <c r="AD13" i="1"/>
  <c r="AC13" i="1"/>
  <c r="AB13" i="1"/>
  <c r="AG12" i="1"/>
  <c r="AF12" i="1"/>
  <c r="AE12" i="1"/>
  <c r="AD12" i="1"/>
  <c r="AC12" i="1"/>
  <c r="AB12" i="1"/>
  <c r="AG11" i="1"/>
  <c r="AF11" i="1"/>
  <c r="AE11" i="1"/>
  <c r="AD11" i="1"/>
  <c r="AC11" i="1"/>
  <c r="AB11" i="1"/>
  <c r="AG10" i="1"/>
  <c r="AF10" i="1"/>
  <c r="AE10" i="1"/>
  <c r="AD10" i="1"/>
  <c r="AC10" i="1"/>
  <c r="AB10" i="1"/>
  <c r="AG9" i="1"/>
  <c r="AF9" i="1"/>
  <c r="AE9" i="1"/>
  <c r="AD9" i="1"/>
  <c r="AC9" i="1"/>
  <c r="AB9" i="1"/>
  <c r="AG8" i="1"/>
  <c r="AF8" i="1"/>
  <c r="AE8" i="1"/>
  <c r="AD8" i="1"/>
  <c r="AC8" i="1"/>
  <c r="AB8" i="1"/>
  <c r="AG7" i="1"/>
  <c r="AF7" i="1"/>
  <c r="AE7" i="1"/>
  <c r="AD7" i="1"/>
  <c r="AC7" i="1"/>
  <c r="AB7" i="1"/>
  <c r="AG51" i="1"/>
  <c r="BF7" i="1" l="1"/>
  <c r="I31" i="1"/>
  <c r="J38" i="1" l="1"/>
  <c r="J34" i="1"/>
  <c r="J39" i="1"/>
  <c r="J37" i="1"/>
  <c r="J35" i="1"/>
  <c r="J40" i="1"/>
  <c r="J36" i="1"/>
  <c r="J41" i="1"/>
  <c r="AC21" i="1" l="1"/>
  <c r="AC27" i="1" s="1"/>
  <c r="J9" i="1" s="1"/>
  <c r="AD21" i="1"/>
  <c r="AD27" i="1" s="1"/>
  <c r="J10" i="1" s="1"/>
  <c r="AE21" i="1"/>
  <c r="AE27" i="1" s="1"/>
  <c r="J11" i="1" s="1"/>
  <c r="AF21" i="1"/>
  <c r="AF27" i="1" s="1"/>
  <c r="J12" i="1" s="1"/>
  <c r="AG21" i="1"/>
  <c r="AG27" i="1" s="1"/>
  <c r="J13" i="1" s="1"/>
  <c r="B23" i="1" l="1"/>
  <c r="K8" i="1" s="1"/>
  <c r="G23" i="1"/>
  <c r="K13" i="1" s="1"/>
  <c r="AG2" i="1"/>
  <c r="AG3" i="1" s="1"/>
  <c r="AF2" i="1"/>
  <c r="AF3" i="1" s="1"/>
  <c r="AE2" i="1"/>
  <c r="AE3" i="1" s="1"/>
  <c r="AD2" i="1"/>
  <c r="AD3" i="1" s="1"/>
  <c r="AC2" i="1"/>
  <c r="AC3" i="1" s="1"/>
  <c r="AB2" i="1"/>
  <c r="AB3" i="1" s="1"/>
  <c r="C22" i="1" l="1"/>
  <c r="L9" i="1"/>
  <c r="B22" i="1"/>
  <c r="L8" i="1"/>
  <c r="D22" i="1"/>
  <c r="L10" i="1"/>
  <c r="E22" i="1"/>
  <c r="L11" i="1"/>
  <c r="F22" i="1"/>
  <c r="L12" i="1"/>
  <c r="G22" i="1"/>
  <c r="L13" i="1"/>
  <c r="AG28" i="1"/>
  <c r="G25" i="1" s="1"/>
  <c r="AB28" i="1"/>
  <c r="B25" i="1" s="1"/>
  <c r="E23" i="1"/>
  <c r="K11" i="1" s="1"/>
  <c r="F23" i="1"/>
  <c r="K12" i="1" s="1"/>
  <c r="D23" i="1"/>
  <c r="K10" i="1" s="1"/>
  <c r="AD28" i="1" l="1"/>
  <c r="D25" i="1" s="1"/>
  <c r="AF28" i="1"/>
  <c r="F25" i="1" s="1"/>
  <c r="AE28" i="1"/>
  <c r="E25" i="1" s="1"/>
  <c r="AC51" i="1"/>
  <c r="C23" i="1" l="1"/>
  <c r="K9" i="1" s="1"/>
  <c r="AC28" i="1" l="1"/>
  <c r="C25" i="1" s="1"/>
</calcChain>
</file>

<file path=xl/comments1.xml><?xml version="1.0" encoding="utf-8"?>
<comments xmlns="http://schemas.openxmlformats.org/spreadsheetml/2006/main">
  <authors>
    <author>Dr. Manfred Anzinger</author>
    <author>Manfred Anzinger</author>
    <author>Anzinger</author>
  </authors>
  <commentList>
    <comment ref="B1" authorId="0" shapeId="0">
      <text>
        <r>
          <rPr>
            <b/>
            <sz val="9"/>
            <color indexed="81"/>
            <rFont val="Segoe UI"/>
            <family val="2"/>
          </rPr>
          <t>Film aus Liste oder eigene Eingabe</t>
        </r>
        <r>
          <rPr>
            <sz val="9"/>
            <color indexed="81"/>
            <rFont val="Segoe UI"/>
            <family val="2"/>
          </rPr>
          <t xml:space="preserve">
wird nur zur Berechnung einer korrigierten Entwicklungszeit genutzt.
Keine Eingabe: Film der Spalte links davon wird angenommen.
</t>
        </r>
        <r>
          <rPr>
            <b/>
            <sz val="9"/>
            <color indexed="81"/>
            <rFont val="Segoe UI"/>
            <family val="2"/>
          </rPr>
          <t xml:space="preserve">Select film from dropdown list or own input
</t>
        </r>
        <r>
          <rPr>
            <sz val="9"/>
            <color indexed="81"/>
            <rFont val="Segoe UI"/>
            <family val="2"/>
          </rPr>
          <t>is only used to calculate a corrected development time. 
No entry: Film in the column to the left is assumed.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</rPr>
          <t>Beispiel 60/60/4x/20° bedeutet</t>
        </r>
        <r>
          <rPr>
            <sz val="9"/>
            <color indexed="81"/>
            <rFont val="Tahoma"/>
            <family val="2"/>
          </rPr>
          <t xml:space="preserve">:
60s Dauerkippen, dann
alle 60 Sek. 4x kippen,
Temperatur 20°C
</t>
        </r>
        <r>
          <rPr>
            <b/>
            <sz val="9"/>
            <color indexed="81"/>
            <rFont val="Tahoma"/>
            <family val="2"/>
          </rPr>
          <t>Example 60/60/4x/20° means:</t>
        </r>
        <r>
          <rPr>
            <sz val="9"/>
            <color indexed="81"/>
            <rFont val="Tahoma"/>
            <family val="2"/>
          </rPr>
          <t xml:space="preserve">
continuous inversions for 60s,
then 4 inversions every 60s,
temperature 20°C
</t>
        </r>
      </text>
    </comment>
    <comment ref="A21" authorId="2" shapeId="0">
      <text>
        <r>
          <rPr>
            <b/>
            <sz val="9"/>
            <color indexed="81"/>
            <rFont val="Tahoma"/>
            <family val="2"/>
          </rPr>
          <t xml:space="preserve">max. -9/+6
</t>
        </r>
        <r>
          <rPr>
            <sz val="9"/>
            <color indexed="81"/>
            <rFont val="Tahoma"/>
            <family val="2"/>
          </rPr>
          <t>Korrektur um 1 DIN entspricht horizontaler Verschiebung der Kurve um 1/3 Blendenstufe
Correction by 1 DIN results in horizontal shift of the curve by 1/3 f-stop</t>
        </r>
      </text>
    </comment>
    <comment ref="A23" authorId="2" shapeId="0">
      <text>
        <r>
          <rPr>
            <b/>
            <sz val="9"/>
            <color indexed="81"/>
            <rFont val="Tahoma"/>
            <family val="2"/>
          </rPr>
          <t>Vorbelegung:</t>
        </r>
        <r>
          <rPr>
            <sz val="9"/>
            <color indexed="81"/>
            <rFont val="Tahoma"/>
            <family val="2"/>
          </rPr>
          <t xml:space="preserve">
Mittelwert des Detailkontrasts aus den Zonen IV-V-VI. Bei DIN-Korrektur wird der Bereich auch entsprechend verschoben.
</t>
        </r>
        <r>
          <rPr>
            <b/>
            <sz val="9"/>
            <color indexed="81"/>
            <rFont val="Tahoma"/>
            <family val="2"/>
          </rPr>
          <t>Preset:</t>
        </r>
        <r>
          <rPr>
            <sz val="9"/>
            <color indexed="81"/>
            <rFont val="Tahoma"/>
            <family val="2"/>
          </rPr>
          <t xml:space="preserve">
Average value of the detail contrast from zones IV-V-VI. With DIN correction, the range is also shifted accordingly.</t>
        </r>
      </text>
    </comment>
    <comment ref="A24" authorId="2" shapeId="0">
      <text>
        <r>
          <rPr>
            <b/>
            <sz val="9"/>
            <color indexed="81"/>
            <rFont val="Tahoma"/>
            <family val="2"/>
          </rPr>
          <t xml:space="preserve">Meine Empfehlung für Ilford MG V
0,55: </t>
        </r>
        <r>
          <rPr>
            <sz val="9"/>
            <color indexed="81"/>
            <rFont val="Tahoma"/>
            <family val="2"/>
          </rPr>
          <t xml:space="preserve">bei Messung mit Laborbelichtungsmesser
         auf dem Grundbrett (gilt für alle Vergrößererbauarten).
Messungen mit einem Transmissions-Densitometer ca. 0,51, abhängig von dessen Bauart und Messgeometrie. Allgemeingültige Angaben sind hier schwierig.
Für altes Ilford MG IV: gamma um etwa 0,10 höher!
</t>
        </r>
        <r>
          <rPr>
            <b/>
            <sz val="9"/>
            <color indexed="81"/>
            <rFont val="Tahoma"/>
            <family val="2"/>
          </rPr>
          <t>My recommendation for Ilford MG V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0.55</t>
        </r>
        <r>
          <rPr>
            <sz val="9"/>
            <color indexed="81"/>
            <rFont val="Tahoma"/>
            <family val="2"/>
          </rPr>
          <t>: when measuring with darkroom meter
         on the base board or easel (applies to all types of enlargers).
Measurements with a transmission densitometer approx. 0.51, depending on its design and measuring geometry. It is difficult to make general statements here.
For old Ilford MG IV: increase gamma by 0.10!</t>
        </r>
      </text>
    </comment>
    <comment ref="A25" authorId="1" shapeId="0">
      <text>
        <r>
          <rPr>
            <b/>
            <sz val="9"/>
            <color indexed="81"/>
            <rFont val="Tahoma"/>
            <family val="2"/>
          </rPr>
          <t>Umrechnung nach Kodak-Datenblatt für Xtol 1+1</t>
        </r>
        <r>
          <rPr>
            <sz val="9"/>
            <color indexed="81"/>
            <rFont val="Tahoma"/>
            <family val="2"/>
          </rPr>
          <t xml:space="preserve">
Anpassung an andere Filme oder Entwickler siehe ab Zelle AM22...
</t>
        </r>
        <r>
          <rPr>
            <b/>
            <sz val="9"/>
            <color indexed="81"/>
            <rFont val="Tahoma"/>
            <family val="2"/>
          </rPr>
          <t>Evaluation according to Kodak data sheet Xtol 1+1</t>
        </r>
        <r>
          <rPr>
            <sz val="9"/>
            <color indexed="81"/>
            <rFont val="Tahoma"/>
            <family val="2"/>
          </rPr>
          <t xml:space="preserve">
Can be adapted to other films or developers, see cell AM22...</t>
        </r>
      </text>
    </comment>
    <comment ref="B26" authorId="2" shapeId="0">
      <text>
        <r>
          <rPr>
            <b/>
            <sz val="9"/>
            <color indexed="81"/>
            <rFont val="Tahoma"/>
            <family val="2"/>
          </rPr>
          <t>Diese Kurve abschalten:</t>
        </r>
        <r>
          <rPr>
            <sz val="9"/>
            <color indexed="81"/>
            <rFont val="Tahoma"/>
            <family val="2"/>
          </rPr>
          <t xml:space="preserve">
wenn das letzte Zeichen dieser Textzelle ein Punkt "." ist
</t>
        </r>
        <r>
          <rPr>
            <b/>
            <sz val="9"/>
            <color indexed="81"/>
            <rFont val="Tahoma"/>
            <family val="2"/>
          </rPr>
          <t>Hide this curve:</t>
        </r>
        <r>
          <rPr>
            <sz val="9"/>
            <color indexed="81"/>
            <rFont val="Tahoma"/>
            <family val="2"/>
          </rPr>
          <t xml:space="preserve">
if the last character of this text cell is a full-stop "."</t>
        </r>
      </text>
    </comment>
    <comment ref="J30" authorId="1" shapeId="0">
      <text>
        <r>
          <rPr>
            <sz val="9"/>
            <color indexed="81"/>
            <rFont val="Tahoma"/>
            <family val="2"/>
          </rPr>
          <t>Helligkeit z.B. mit Jalousie so einstellen, dass die Blendenrastung auf ganze oder halbe Stufen eingestellt werden kann.
Adjust brightness, e.g. with window blinds, so that the f-stop detent can be set to whole or half steps.</t>
        </r>
      </text>
    </comment>
    <comment ref="J31" authorId="1" shapeId="0">
      <text>
        <r>
          <rPr>
            <sz val="9"/>
            <color indexed="81"/>
            <rFont val="Tahoma"/>
            <family val="2"/>
          </rPr>
          <t>Bei Beginn der Belichtungsreihe in Zone I 
hier eine 1 eintragen und für diese erste
Testaufnahme eine geeignete Zeit-/
Blendenkombination aus der Tabelle auswählen.
Für alle weiteren Aufnahmen die Belichtung
um eine Zeit- oder Blendenstufe erhöhen.
When starting the exposure series in zone I 
enter a 1 here and for this first test exposure
select a suitable time/aperture
combination from the table.
For all further exposures, increase the exposure
by one time or aperture stop.</t>
        </r>
      </text>
    </comment>
  </commentList>
</comments>
</file>

<file path=xl/sharedStrings.xml><?xml version="1.0" encoding="utf-8"?>
<sst xmlns="http://schemas.openxmlformats.org/spreadsheetml/2006/main" count="155" uniqueCount="139">
  <si>
    <t>Gamma =</t>
  </si>
  <si>
    <t>-6 DIN</t>
  </si>
  <si>
    <t>-5 DIN</t>
  </si>
  <si>
    <t>-4 DIN</t>
  </si>
  <si>
    <t>-3 DIN</t>
  </si>
  <si>
    <t>-2 DIN</t>
  </si>
  <si>
    <t>-1 DIN</t>
  </si>
  <si>
    <t>Nennbelicht.</t>
  </si>
  <si>
    <t>+1 DIN</t>
  </si>
  <si>
    <t>+2 DIN</t>
  </si>
  <si>
    <t>+3 DIN</t>
  </si>
  <si>
    <t>zu Test 1</t>
  </si>
  <si>
    <t>zu Test 2</t>
  </si>
  <si>
    <t>zu Test 3</t>
  </si>
  <si>
    <t>zu Test 4</t>
  </si>
  <si>
    <t>zu Test 5</t>
  </si>
  <si>
    <t>zu Test 6</t>
  </si>
  <si>
    <t>Zone 0   -5</t>
  </si>
  <si>
    <t>Zone 0</t>
  </si>
  <si>
    <t>I   -4</t>
  </si>
  <si>
    <t>I</t>
  </si>
  <si>
    <t>II</t>
  </si>
  <si>
    <t>III</t>
  </si>
  <si>
    <t>IV</t>
  </si>
  <si>
    <r>
      <t xml:space="preserve">V   </t>
    </r>
    <r>
      <rPr>
        <sz val="10"/>
        <rFont val="Arial"/>
        <family val="2"/>
      </rPr>
      <t>±0</t>
    </r>
  </si>
  <si>
    <t>V</t>
  </si>
  <si>
    <t>VI  +1</t>
  </si>
  <si>
    <t>VI</t>
  </si>
  <si>
    <t>VII  +2</t>
  </si>
  <si>
    <t>VII</t>
  </si>
  <si>
    <t>VIII  +3</t>
  </si>
  <si>
    <t>VIII</t>
  </si>
  <si>
    <t>IX  +4</t>
  </si>
  <si>
    <t>IX</t>
  </si>
  <si>
    <t>Zone X</t>
  </si>
  <si>
    <t xml:space="preserve">      +6</t>
  </si>
  <si>
    <t xml:space="preserve">      +7</t>
  </si>
  <si>
    <t xml:space="preserve">      +8</t>
  </si>
  <si>
    <t>Versions-Historie:</t>
  </si>
  <si>
    <t>Version 1.0</t>
  </si>
  <si>
    <t>Version 1.1</t>
  </si>
  <si>
    <t>Bereich der Gamma-Berechnung wird bei DIN-Korrektur automatisch angepasst.</t>
  </si>
  <si>
    <t>neue Entwicklungszeitempfehlung wird ausgegeben</t>
  </si>
  <si>
    <t>Version 1.2</t>
  </si>
  <si>
    <t>Detailkontrast als Punktgraphik dazugefügt</t>
  </si>
  <si>
    <t>Version 1.3</t>
  </si>
  <si>
    <t>Mit einem . (Punkt) in Zelle B$26 kann die Graphik für diesen Test ausgeblendet werden.</t>
  </si>
  <si>
    <t>Version 1.4</t>
  </si>
  <si>
    <t>neue Entwicklungszeitempfehlung nach eigenen Erfahrungen mit Xtol</t>
  </si>
  <si>
    <t>Version 1.5</t>
  </si>
  <si>
    <t>gestrichelte Linien gelten jetzt für gamma 0,55 / 0,65 / 0,70</t>
  </si>
  <si>
    <t>Version 1.5b</t>
  </si>
  <si>
    <t>gestrichelte Linien gelten jetzt für gamma 0,55 / 0,65 / 0,75</t>
  </si>
  <si>
    <t>Zone V</t>
  </si>
  <si>
    <t>Version 1.6</t>
  </si>
  <si>
    <t>bessere Mittelwertbildung für gamma, geringerer Einfluss einzelner Messabweichungen</t>
  </si>
  <si>
    <t>II   -3</t>
  </si>
  <si>
    <t>III   -2</t>
  </si>
  <si>
    <t>IV   -1</t>
  </si>
  <si>
    <t>X  +5</t>
  </si>
  <si>
    <t>Version 1.7</t>
  </si>
  <si>
    <t>www.anzinger-online.de/Foto</t>
  </si>
  <si>
    <t>www.anzinger-online.de/Foto/filmtest.html</t>
  </si>
  <si>
    <t>Zone</t>
  </si>
  <si>
    <t>Beli-Zeit</t>
  </si>
  <si>
    <t>Achsenbeschriftung geändert: log.Dichte -&gt; Dichte (=log 1/T); Formatkontrolle bei Zeiteingabe</t>
  </si>
  <si>
    <t>neue Formel: Entwicklungszeit-Schätzung mit e-Funktion</t>
  </si>
  <si>
    <t>Version 1.8</t>
  </si>
  <si>
    <t>Version 1.9</t>
  </si>
  <si>
    <t>Eingabekontrolle für ISO-Empfindlichkeit dazugefügt</t>
  </si>
  <si>
    <t>Wahlweise deutsch/englisch</t>
  </si>
  <si>
    <t>gamma</t>
  </si>
  <si>
    <t>x-axis</t>
  </si>
  <si>
    <t>y-axis</t>
  </si>
  <si>
    <t>LibreOffice engl.?</t>
  </si>
  <si>
    <t>Version 2.0</t>
  </si>
  <si>
    <t>Version 2.1</t>
  </si>
  <si>
    <t>Partialkontrast am Anf. und Ende der Dichtekurve ergänzt</t>
  </si>
  <si>
    <t>Version 2.2</t>
  </si>
  <si>
    <t>Beispielkurve entspricht der Dichtekurve aus ISO 6 mit gamma=0,7</t>
  </si>
  <si>
    <t>Standard: mean gamma for 3 zones IV-V-VI</t>
  </si>
  <si>
    <t>Experimental:</t>
  </si>
  <si>
    <t>position after ":"</t>
  </si>
  <si>
    <t>Corr.factor</t>
  </si>
  <si>
    <t>offset for gamma</t>
  </si>
  <si>
    <t>XL-version?</t>
  </si>
  <si>
    <t>German?</t>
  </si>
  <si>
    <t>exposure data including DIN offset</t>
  </si>
  <si>
    <t>data for partial contrast of tests</t>
  </si>
  <si>
    <t>comments /</t>
  </si>
  <si>
    <t>new time m</t>
  </si>
  <si>
    <t>Experimentell: mittl. Gamma wahlweise über 5 Zonen statt 3, falls 5 in Zelle B29…G29</t>
  </si>
  <si>
    <t xml:space="preserve"> &lt;-- if B…G29=5, then mean gamma for 5 zones III-VII</t>
  </si>
  <si>
    <t>Version 2.3</t>
  </si>
  <si>
    <t>Anpassungsfaktor für neue Entw.-zeit für Xtol 1+1 (Ilford-Filme oder FP4+)</t>
  </si>
  <si>
    <t>Pan-F</t>
  </si>
  <si>
    <t>FP4</t>
  </si>
  <si>
    <t>HP5</t>
  </si>
  <si>
    <t>D100</t>
  </si>
  <si>
    <t>D400</t>
  </si>
  <si>
    <t>TriX</t>
  </si>
  <si>
    <t>TMX</t>
  </si>
  <si>
    <t>TMY</t>
  </si>
  <si>
    <t>Film #</t>
  </si>
  <si>
    <t>Film search</t>
  </si>
  <si>
    <t>&lt;Film&gt;</t>
  </si>
  <si>
    <t>old dev. time</t>
  </si>
  <si>
    <t>Range for personal comments and evaluations / Bereich für eigene Auswertungen</t>
  </si>
  <si>
    <t>Anmerkung</t>
  </si>
  <si>
    <t>Version 2.4</t>
  </si>
  <si>
    <t>Detailkontrast wegen Ausreißern im Fuß der Kurve modifiziert</t>
  </si>
  <si>
    <t>K100</t>
  </si>
  <si>
    <t>Film y</t>
  </si>
  <si>
    <t>Film z</t>
  </si>
  <si>
    <t>XT3 1+1</t>
  </si>
  <si>
    <t>30/30/2x/20°</t>
  </si>
  <si>
    <t>5:37</t>
  </si>
  <si>
    <t>6:45</t>
  </si>
  <si>
    <t>8:06</t>
  </si>
  <si>
    <t>9:43</t>
  </si>
  <si>
    <t>11:40</t>
  </si>
  <si>
    <t>16:47</t>
  </si>
  <si>
    <t>≈ 500 ISO</t>
  </si>
  <si>
    <t>ISO</t>
  </si>
  <si>
    <t>≈ 320 ISO</t>
  </si>
  <si>
    <t>≈ 250 ISO</t>
  </si>
  <si>
    <t>pushed*:</t>
  </si>
  <si>
    <t>/1,2</t>
  </si>
  <si>
    <t>Filmtest.xlsx, Vers. 2.5</t>
  </si>
  <si>
    <t>© 2025 Dr. M. Anzinger</t>
  </si>
  <si>
    <t>Ilford MG IV</t>
  </si>
  <si>
    <t>Ilford MG V</t>
  </si>
  <si>
    <t>Fomaspeed variant</t>
  </si>
  <si>
    <t>Fotoimpex EasyPrint</t>
  </si>
  <si>
    <t>Kentmere VC Select</t>
  </si>
  <si>
    <t>Version 2.5</t>
  </si>
  <si>
    <t>Abschätzung des optimalen Gammawertes ergänzt</t>
  </si>
  <si>
    <t>×1,2</t>
  </si>
  <si>
    <t>×1,2²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</si>
</sst>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sz val="11.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name val="Arial"/>
      <family val="2"/>
    </font>
    <font>
      <sz val="10"/>
      <color theme="0" tint="-0.49998474074526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5D9F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Protection="1">
      <protection locked="0"/>
    </xf>
    <xf numFmtId="0" fontId="1" fillId="0" borderId="1" xfId="0" applyFont="1" applyBorder="1" applyAlignment="1">
      <alignment horizontal="right"/>
    </xf>
    <xf numFmtId="14" fontId="0" fillId="0" borderId="3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0" fontId="1" fillId="0" borderId="5" xfId="0" applyFont="1" applyBorder="1" applyAlignment="1">
      <alignment horizontal="right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right"/>
    </xf>
    <xf numFmtId="49" fontId="1" fillId="0" borderId="0" xfId="0" applyNumberFormat="1" applyFont="1" applyAlignment="1">
      <alignment horizontal="center"/>
    </xf>
    <xf numFmtId="0" fontId="0" fillId="0" borderId="12" xfId="0" applyBorder="1" applyAlignment="1">
      <alignment horizontal="right"/>
    </xf>
    <xf numFmtId="0" fontId="1" fillId="0" borderId="15" xfId="0" applyFont="1" applyBorder="1" applyAlignment="1">
      <alignment horizontal="right"/>
    </xf>
    <xf numFmtId="2" fontId="0" fillId="0" borderId="16" xfId="0" applyNumberFormat="1" applyBorder="1" applyAlignment="1" applyProtection="1">
      <alignment horizontal="center"/>
      <protection locked="0"/>
    </xf>
    <xf numFmtId="2" fontId="0" fillId="0" borderId="0" xfId="0" applyNumberFormat="1"/>
    <xf numFmtId="0" fontId="0" fillId="0" borderId="5" xfId="0" applyBorder="1" applyAlignment="1">
      <alignment horizontal="right"/>
    </xf>
    <xf numFmtId="2" fontId="0" fillId="0" borderId="17" xfId="0" applyNumberFormat="1" applyBorder="1" applyAlignment="1" applyProtection="1">
      <alignment horizontal="center"/>
      <protection locked="0"/>
    </xf>
    <xf numFmtId="0" fontId="0" fillId="0" borderId="5" xfId="0" quotePrefix="1" applyBorder="1" applyAlignment="1">
      <alignment horizontal="right"/>
    </xf>
    <xf numFmtId="2" fontId="0" fillId="0" borderId="9" xfId="0" applyNumberFormat="1" applyBorder="1" applyAlignment="1" applyProtection="1">
      <alignment horizontal="center"/>
      <protection locked="0"/>
    </xf>
    <xf numFmtId="0" fontId="0" fillId="0" borderId="18" xfId="0" applyBorder="1" applyAlignment="1">
      <alignment horizontal="right"/>
    </xf>
    <xf numFmtId="1" fontId="0" fillId="0" borderId="19" xfId="0" applyNumberFormat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20" xfId="0" applyBorder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22" xfId="0" applyBorder="1" applyAlignment="1">
      <alignment horizontal="right"/>
    </xf>
    <xf numFmtId="2" fontId="5" fillId="2" borderId="9" xfId="0" applyNumberFormat="1" applyFont="1" applyFill="1" applyBorder="1" applyAlignment="1">
      <alignment horizontal="center"/>
    </xf>
    <xf numFmtId="2" fontId="5" fillId="3" borderId="9" xfId="0" applyNumberFormat="1" applyFont="1" applyFill="1" applyBorder="1" applyAlignment="1">
      <alignment horizontal="center"/>
    </xf>
    <xf numFmtId="2" fontId="5" fillId="4" borderId="10" xfId="0" applyNumberFormat="1" applyFont="1" applyFill="1" applyBorder="1" applyAlignment="1">
      <alignment horizontal="center"/>
    </xf>
    <xf numFmtId="2" fontId="0" fillId="5" borderId="10" xfId="0" applyNumberFormat="1" applyFill="1" applyBorder="1" applyAlignment="1">
      <alignment horizontal="center"/>
    </xf>
    <xf numFmtId="2" fontId="0" fillId="6" borderId="10" xfId="0" applyNumberFormat="1" applyFill="1" applyBorder="1" applyAlignment="1">
      <alignment horizontal="center"/>
    </xf>
    <xf numFmtId="2" fontId="0" fillId="7" borderId="11" xfId="0" applyNumberFormat="1" applyFill="1" applyBorder="1" applyAlignment="1">
      <alignment horizontal="center"/>
    </xf>
    <xf numFmtId="0" fontId="0" fillId="0" borderId="23" xfId="0" applyBorder="1" applyAlignment="1">
      <alignment horizontal="right"/>
    </xf>
    <xf numFmtId="2" fontId="0" fillId="0" borderId="19" xfId="0" applyNumberFormat="1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2" fontId="0" fillId="0" borderId="24" xfId="0" applyNumberFormat="1" applyBorder="1" applyAlignment="1" applyProtection="1">
      <alignment horizontal="center"/>
      <protection locked="0"/>
    </xf>
    <xf numFmtId="0" fontId="0" fillId="0" borderId="2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0" xfId="0" applyNumberFormat="1"/>
    <xf numFmtId="0" fontId="2" fillId="0" borderId="0" xfId="0" applyFont="1"/>
    <xf numFmtId="0" fontId="1" fillId="8" borderId="5" xfId="0" applyFont="1" applyFill="1" applyBorder="1" applyAlignment="1">
      <alignment horizontal="right"/>
    </xf>
    <xf numFmtId="2" fontId="0" fillId="8" borderId="17" xfId="0" applyNumberFormat="1" applyFill="1" applyBorder="1" applyAlignment="1" applyProtection="1">
      <alignment horizontal="center"/>
      <protection locked="0"/>
    </xf>
    <xf numFmtId="14" fontId="0" fillId="0" borderId="19" xfId="0" applyNumberFormat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49" fontId="0" fillId="0" borderId="7" xfId="0" applyNumberFormat="1" applyBorder="1" applyAlignment="1" applyProtection="1">
      <alignment horizontal="center"/>
      <protection locked="0"/>
    </xf>
    <xf numFmtId="49" fontId="0" fillId="0" borderId="25" xfId="0" applyNumberFormat="1" applyBorder="1" applyAlignment="1" applyProtection="1">
      <alignment horizontal="center"/>
      <protection locked="0"/>
    </xf>
    <xf numFmtId="49" fontId="0" fillId="0" borderId="32" xfId="0" applyNumberFormat="1" applyBorder="1" applyAlignment="1" applyProtection="1">
      <alignment horizontal="center"/>
      <protection locked="0"/>
    </xf>
    <xf numFmtId="49" fontId="0" fillId="0" borderId="33" xfId="0" applyNumberFormat="1" applyBorder="1" applyAlignment="1" applyProtection="1">
      <alignment horizontal="center"/>
      <protection locked="0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0" fillId="0" borderId="30" xfId="0" applyNumberFormat="1" applyBorder="1" applyAlignment="1" applyProtection="1">
      <alignment horizontal="center"/>
      <protection locked="0"/>
    </xf>
    <xf numFmtId="49" fontId="0" fillId="0" borderId="31" xfId="0" applyNumberFormat="1" applyBorder="1" applyAlignment="1" applyProtection="1">
      <alignment horizontal="center"/>
      <protection locked="0"/>
    </xf>
    <xf numFmtId="0" fontId="0" fillId="0" borderId="8" xfId="0" applyBorder="1" applyAlignment="1">
      <alignment horizontal="right"/>
    </xf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0" xfId="0" applyProtection="1">
      <protection locked="0"/>
    </xf>
    <xf numFmtId="0" fontId="0" fillId="0" borderId="37" xfId="0" applyBorder="1" applyProtection="1">
      <protection locked="0"/>
    </xf>
    <xf numFmtId="2" fontId="0" fillId="0" borderId="3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36" xfId="0" applyBorder="1"/>
    <xf numFmtId="0" fontId="0" fillId="0" borderId="0" xfId="0" applyAlignment="1" applyProtection="1">
      <alignment horizontal="right"/>
      <protection locked="0"/>
    </xf>
    <xf numFmtId="0" fontId="0" fillId="0" borderId="35" xfId="0" applyBorder="1"/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9" borderId="16" xfId="0" applyFill="1" applyBorder="1" applyAlignment="1">
      <alignment horizontal="left"/>
    </xf>
    <xf numFmtId="164" fontId="0" fillId="10" borderId="6" xfId="0" applyNumberFormat="1" applyFill="1" applyBorder="1" applyAlignment="1" applyProtection="1">
      <alignment horizontal="center"/>
      <protection locked="0"/>
    </xf>
    <xf numFmtId="0" fontId="0" fillId="10" borderId="41" xfId="0" applyFill="1" applyBorder="1" applyAlignment="1" applyProtection="1">
      <alignment horizontal="center"/>
      <protection locked="0"/>
    </xf>
    <xf numFmtId="0" fontId="0" fillId="9" borderId="38" xfId="0" applyFill="1" applyBorder="1" applyAlignment="1">
      <alignment horizontal="right"/>
    </xf>
    <xf numFmtId="0" fontId="0" fillId="8" borderId="0" xfId="0" applyFill="1" applyAlignment="1">
      <alignment horizontal="right"/>
    </xf>
    <xf numFmtId="2" fontId="0" fillId="8" borderId="0" xfId="0" applyNumberFormat="1" applyFill="1"/>
    <xf numFmtId="0" fontId="0" fillId="8" borderId="0" xfId="0" applyFill="1"/>
    <xf numFmtId="0" fontId="0" fillId="8" borderId="0" xfId="0" applyFill="1" applyAlignment="1">
      <alignment horizontal="center"/>
    </xf>
    <xf numFmtId="0" fontId="8" fillId="0" borderId="0" xfId="0" applyFont="1" applyAlignment="1">
      <alignment horizontal="left" vertical="center" readingOrder="1"/>
    </xf>
    <xf numFmtId="0" fontId="9" fillId="0" borderId="0" xfId="0" applyFont="1" applyAlignment="1">
      <alignment horizontal="left" vertical="center" readingOrder="1"/>
    </xf>
    <xf numFmtId="0" fontId="10" fillId="0" borderId="0" xfId="0" applyFont="1"/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>
      <alignment horizontal="right"/>
    </xf>
    <xf numFmtId="0" fontId="0" fillId="11" borderId="0" xfId="0" applyFill="1"/>
    <xf numFmtId="49" fontId="0" fillId="0" borderId="42" xfId="0" applyNumberForma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0" fillId="8" borderId="7" xfId="0" applyNumberFormat="1" applyFill="1" applyBorder="1" applyAlignment="1" applyProtection="1">
      <alignment horizontal="center"/>
      <protection locked="0"/>
    </xf>
    <xf numFmtId="2" fontId="0" fillId="0" borderId="33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40" xfId="0" applyBorder="1" applyAlignment="1" applyProtection="1">
      <alignment horizontal="center"/>
      <protection locked="0"/>
    </xf>
    <xf numFmtId="49" fontId="0" fillId="0" borderId="40" xfId="0" applyNumberFormat="1" applyBorder="1" applyAlignment="1" applyProtection="1">
      <alignment horizontal="center"/>
      <protection locked="0"/>
    </xf>
    <xf numFmtId="0" fontId="0" fillId="10" borderId="35" xfId="0" applyFill="1" applyBorder="1" applyAlignment="1" applyProtection="1">
      <alignment horizontal="center"/>
      <protection locked="0"/>
    </xf>
    <xf numFmtId="0" fontId="0" fillId="10" borderId="39" xfId="0" applyFill="1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37" xfId="0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0" fontId="0" fillId="10" borderId="9" xfId="0" applyFill="1" applyBorder="1" applyAlignment="1" applyProtection="1">
      <alignment horizontal="center"/>
      <protection locked="0"/>
    </xf>
    <xf numFmtId="0" fontId="0" fillId="10" borderId="16" xfId="0" applyFill="1" applyBorder="1" applyAlignment="1" applyProtection="1">
      <alignment horizontal="center"/>
      <protection locked="0"/>
    </xf>
    <xf numFmtId="2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2" fontId="0" fillId="0" borderId="0" xfId="0" applyNumberFormat="1" applyBorder="1"/>
    <xf numFmtId="0" fontId="0" fillId="0" borderId="0" xfId="0" applyBorder="1" applyAlignment="1" applyProtection="1">
      <alignment horizontal="right"/>
      <protection locked="0"/>
    </xf>
    <xf numFmtId="0" fontId="0" fillId="0" borderId="36" xfId="0" applyBorder="1" applyAlignment="1" applyProtection="1">
      <alignment horizontal="right"/>
      <protection locked="0"/>
    </xf>
    <xf numFmtId="9" fontId="0" fillId="0" borderId="36" xfId="3" applyFont="1" applyBorder="1" applyAlignment="1" applyProtection="1">
      <alignment horizontal="right"/>
      <protection locked="0"/>
    </xf>
    <xf numFmtId="0" fontId="13" fillId="0" borderId="0" xfId="0" applyFont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0" xfId="0" applyAlignment="1" applyProtection="1">
      <alignment horizontal="right"/>
    </xf>
    <xf numFmtId="0" fontId="0" fillId="10" borderId="6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10" borderId="43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2" fontId="0" fillId="0" borderId="6" xfId="0" applyNumberFormat="1" applyFont="1" applyBorder="1" applyAlignment="1" applyProtection="1">
      <alignment horizontal="center"/>
    </xf>
    <xf numFmtId="0" fontId="0" fillId="10" borderId="41" xfId="0" applyFont="1" applyFill="1" applyBorder="1" applyAlignment="1" applyProtection="1">
      <alignment horizontal="center"/>
      <protection locked="0"/>
    </xf>
    <xf numFmtId="0" fontId="14" fillId="0" borderId="39" xfId="0" applyFont="1" applyBorder="1" applyAlignment="1" applyProtection="1">
      <alignment horizontal="left"/>
    </xf>
    <xf numFmtId="0" fontId="14" fillId="0" borderId="38" xfId="0" applyFont="1" applyBorder="1" applyProtection="1"/>
    <xf numFmtId="0" fontId="14" fillId="0" borderId="39" xfId="0" applyFont="1" applyBorder="1" applyProtection="1"/>
    <xf numFmtId="0" fontId="14" fillId="0" borderId="0" xfId="0" applyFont="1" applyAlignment="1" applyProtection="1">
      <alignment horizontal="right"/>
    </xf>
    <xf numFmtId="0" fontId="14" fillId="0" borderId="36" xfId="0" applyFont="1" applyBorder="1" applyAlignment="1" applyProtection="1">
      <alignment horizontal="center"/>
    </xf>
    <xf numFmtId="0" fontId="14" fillId="0" borderId="0" xfId="0" applyFont="1" applyProtection="1"/>
    <xf numFmtId="0" fontId="14" fillId="0" borderId="16" xfId="0" applyFont="1" applyBorder="1" applyAlignment="1" applyProtection="1">
      <alignment horizontal="right"/>
    </xf>
    <xf numFmtId="0" fontId="14" fillId="0" borderId="38" xfId="0" applyFont="1" applyBorder="1" applyAlignment="1" applyProtection="1">
      <alignment horizontal="center"/>
    </xf>
    <xf numFmtId="0" fontId="14" fillId="0" borderId="6" xfId="0" applyFont="1" applyBorder="1" applyAlignment="1" applyProtection="1">
      <alignment horizontal="center"/>
    </xf>
    <xf numFmtId="2" fontId="0" fillId="0" borderId="6" xfId="0" applyNumberFormat="1" applyFont="1" applyFill="1" applyBorder="1" applyAlignment="1" applyProtection="1">
      <alignment horizontal="center"/>
    </xf>
    <xf numFmtId="0" fontId="6" fillId="0" borderId="0" xfId="1" applyProtection="1">
      <protection locked="0"/>
    </xf>
    <xf numFmtId="0" fontId="7" fillId="0" borderId="0" xfId="1" applyFont="1" applyAlignment="1" applyProtection="1">
      <alignment horizontal="left"/>
      <protection locked="0"/>
    </xf>
    <xf numFmtId="0" fontId="0" fillId="0" borderId="40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4">
    <cellStyle name="Link" xfId="1" builtinId="8"/>
    <cellStyle name="Prozent" xfId="3" builtinId="5"/>
    <cellStyle name="Standard" xfId="0" builtinId="0"/>
    <cellStyle name="Standard 2" xfId="2"/>
  </cellStyles>
  <dxfs count="6">
    <dxf>
      <font>
        <b/>
        <i val="0"/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51828298887141"/>
          <c:y val="2.8017241379310404E-2"/>
          <c:w val="0.87122416534181235"/>
          <c:h val="0.78879310344827724"/>
        </c:manualLayout>
      </c:layout>
      <c:scatterChart>
        <c:scatterStyle val="lineMarker"/>
        <c:varyColors val="0"/>
        <c:ser>
          <c:idx val="5"/>
          <c:order val="0"/>
          <c:tx>
            <c:v>Gamma 0,54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Filmtest!$AW$8:$AW$19</c:f>
              <c:numCache>
                <c:formatCode>General</c:formatCode>
                <c:ptCount val="12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</c:numCache>
            </c:numRef>
          </c:xVal>
          <c:yVal>
            <c:numRef>
              <c:f>Filmtest!$AI$8:$AI$19</c:f>
              <c:numCache>
                <c:formatCode>General</c:formatCode>
                <c:ptCount val="12"/>
                <c:pt idx="2">
                  <c:v>0.36556649761518967</c:v>
                </c:pt>
                <c:pt idx="3">
                  <c:v>0.53113299523037938</c:v>
                </c:pt>
                <c:pt idx="4">
                  <c:v>0.69669949284556909</c:v>
                </c:pt>
                <c:pt idx="5">
                  <c:v>0.8622659904607588</c:v>
                </c:pt>
                <c:pt idx="6">
                  <c:v>1.0278324880759484</c:v>
                </c:pt>
                <c:pt idx="7">
                  <c:v>1.193398985691138</c:v>
                </c:pt>
                <c:pt idx="8">
                  <c:v>1.3589654833063276</c:v>
                </c:pt>
                <c:pt idx="9">
                  <c:v>1.5245319809215172</c:v>
                </c:pt>
                <c:pt idx="10">
                  <c:v>1.6900984785367068</c:v>
                </c:pt>
                <c:pt idx="11">
                  <c:v>1.8556649761518964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7E-444B-A448-8B3FAC322978}"/>
            </c:ext>
          </c:extLst>
        </c:ser>
        <c:ser>
          <c:idx val="0"/>
          <c:order val="1"/>
          <c:tx>
            <c:v>Gamma 0,60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Filmtest!$AW$8:$AW$19</c:f>
              <c:numCache>
                <c:formatCode>General</c:formatCode>
                <c:ptCount val="12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</c:numCache>
            </c:numRef>
          </c:xVal>
          <c:yVal>
            <c:numRef>
              <c:f>Filmtest!$AJ$8:$AJ$19</c:f>
              <c:numCache>
                <c:formatCode>General</c:formatCode>
                <c:ptCount val="12"/>
                <c:pt idx="0">
                  <c:v>0.1</c:v>
                </c:pt>
                <c:pt idx="1">
                  <c:v>0.2</c:v>
                </c:pt>
                <c:pt idx="2">
                  <c:v>0.39566949718158784</c:v>
                </c:pt>
                <c:pt idx="3">
                  <c:v>0.59133899436317561</c:v>
                </c:pt>
                <c:pt idx="4">
                  <c:v>0.78700849154476338</c:v>
                </c:pt>
                <c:pt idx="5">
                  <c:v>0.98267798872635115</c:v>
                </c:pt>
                <c:pt idx="6">
                  <c:v>1.178347485907939</c:v>
                </c:pt>
                <c:pt idx="7">
                  <c:v>1.3740169830895268</c:v>
                </c:pt>
                <c:pt idx="8">
                  <c:v>1.5696864802711146</c:v>
                </c:pt>
                <c:pt idx="9">
                  <c:v>1.7653559774527023</c:v>
                </c:pt>
                <c:pt idx="10">
                  <c:v>1.9610254746342901</c:v>
                </c:pt>
                <c:pt idx="11">
                  <c:v>2.1566949718158779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7E-444B-A448-8B3FAC322978}"/>
            </c:ext>
          </c:extLst>
        </c:ser>
        <c:ser>
          <c:idx val="1"/>
          <c:order val="2"/>
          <c:tx>
            <c:v>Gamma 0,66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Filmtest!$AW$8:$AW$19</c:f>
              <c:numCache>
                <c:formatCode>General</c:formatCode>
                <c:ptCount val="12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</c:numCache>
            </c:numRef>
          </c:xVal>
          <c:yVal>
            <c:numRef>
              <c:f>Filmtest!$AK$8:$AK$19</c:f>
              <c:numCache>
                <c:formatCode>General</c:formatCode>
                <c:ptCount val="12"/>
                <c:pt idx="2">
                  <c:v>0.4257724967479859</c:v>
                </c:pt>
                <c:pt idx="3">
                  <c:v>0.65154499349597184</c:v>
                </c:pt>
                <c:pt idx="4">
                  <c:v>0.87731749024395778</c:v>
                </c:pt>
                <c:pt idx="5">
                  <c:v>1.1030899869919437</c:v>
                </c:pt>
                <c:pt idx="6">
                  <c:v>1.3288624837399297</c:v>
                </c:pt>
                <c:pt idx="7">
                  <c:v>1.5546349804879156</c:v>
                </c:pt>
                <c:pt idx="8">
                  <c:v>1.7804074772359015</c:v>
                </c:pt>
                <c:pt idx="9">
                  <c:v>2.0061799739838873</c:v>
                </c:pt>
                <c:pt idx="10">
                  <c:v>2.2319524707318732</c:v>
                </c:pt>
                <c:pt idx="11">
                  <c:v>2.4577249674798591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17E-444B-A448-8B3FAC322978}"/>
            </c:ext>
          </c:extLst>
        </c:ser>
        <c:ser>
          <c:idx val="9"/>
          <c:order val="9"/>
          <c:spPr>
            <a:ln>
              <a:noFill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Filmtest!$AB$7:$AB$20</c:f>
              <c:numCache>
                <c:formatCode>0.00</c:formatCode>
                <c:ptCount val="14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</c:numCache>
            </c:numRef>
          </c:xVal>
          <c:yVal>
            <c:numRef>
              <c:f>Filmtest!$AB$31:$AB$44</c:f>
              <c:numCache>
                <c:formatCode>General</c:formatCode>
                <c:ptCount val="14"/>
                <c:pt idx="0">
                  <c:v>-99</c:v>
                </c:pt>
                <c:pt idx="1">
                  <c:v>0.33333333333333337</c:v>
                </c:pt>
                <c:pt idx="2">
                  <c:v>0.43333333333333335</c:v>
                </c:pt>
                <c:pt idx="3">
                  <c:v>0.48333333333333323</c:v>
                </c:pt>
                <c:pt idx="4">
                  <c:v>0.48333333333333334</c:v>
                </c:pt>
                <c:pt idx="5">
                  <c:v>0.50833333333333341</c:v>
                </c:pt>
                <c:pt idx="6">
                  <c:v>0.53333333333333333</c:v>
                </c:pt>
                <c:pt idx="7">
                  <c:v>0.53333333333333344</c:v>
                </c:pt>
                <c:pt idx="8">
                  <c:v>0.55000000000000016</c:v>
                </c:pt>
                <c:pt idx="9">
                  <c:v>0.54999999999999982</c:v>
                </c:pt>
                <c:pt idx="10">
                  <c:v>0.51666666666666683</c:v>
                </c:pt>
                <c:pt idx="11">
                  <c:v>0.50000000000000044</c:v>
                </c:pt>
                <c:pt idx="12">
                  <c:v>-99</c:v>
                </c:pt>
                <c:pt idx="13">
                  <c:v>-99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17E-444B-A448-8B3FAC322978}"/>
            </c:ext>
          </c:extLst>
        </c:ser>
        <c:ser>
          <c:idx val="10"/>
          <c:order val="10"/>
          <c:spPr>
            <a:ln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Filmtest!$AC$7:$AC$20</c:f>
              <c:numCache>
                <c:formatCode>0.00</c:formatCode>
                <c:ptCount val="14"/>
                <c:pt idx="0">
                  <c:v>-4.33</c:v>
                </c:pt>
                <c:pt idx="1">
                  <c:v>-3.33</c:v>
                </c:pt>
                <c:pt idx="2">
                  <c:v>-2.33</c:v>
                </c:pt>
                <c:pt idx="3">
                  <c:v>-1.33</c:v>
                </c:pt>
                <c:pt idx="4">
                  <c:v>-0.33</c:v>
                </c:pt>
                <c:pt idx="5">
                  <c:v>0.67</c:v>
                </c:pt>
                <c:pt idx="6">
                  <c:v>1.67</c:v>
                </c:pt>
                <c:pt idx="7">
                  <c:v>2.67</c:v>
                </c:pt>
                <c:pt idx="8">
                  <c:v>3.67</c:v>
                </c:pt>
                <c:pt idx="9">
                  <c:v>4.67</c:v>
                </c:pt>
                <c:pt idx="10">
                  <c:v>5.67</c:v>
                </c:pt>
                <c:pt idx="11">
                  <c:v>6.67</c:v>
                </c:pt>
                <c:pt idx="12">
                  <c:v>7.67</c:v>
                </c:pt>
                <c:pt idx="13">
                  <c:v>8.67</c:v>
                </c:pt>
              </c:numCache>
            </c:numRef>
          </c:xVal>
          <c:yVal>
            <c:numRef>
              <c:f>Filmtest!$AC$31:$AC$44</c:f>
              <c:numCache>
                <c:formatCode>General</c:formatCode>
                <c:ptCount val="14"/>
                <c:pt idx="0">
                  <c:v>-99</c:v>
                </c:pt>
                <c:pt idx="1">
                  <c:v>0.43333333333333335</c:v>
                </c:pt>
                <c:pt idx="2">
                  <c:v>0.53333333333333333</c:v>
                </c:pt>
                <c:pt idx="3">
                  <c:v>0.56666666666666665</c:v>
                </c:pt>
                <c:pt idx="4">
                  <c:v>0.56666666666666676</c:v>
                </c:pt>
                <c:pt idx="5">
                  <c:v>0.56666666666666665</c:v>
                </c:pt>
                <c:pt idx="6">
                  <c:v>0.58333333333333348</c:v>
                </c:pt>
                <c:pt idx="7">
                  <c:v>0.6000000000000002</c:v>
                </c:pt>
                <c:pt idx="8">
                  <c:v>0.61666666666666647</c:v>
                </c:pt>
                <c:pt idx="9">
                  <c:v>0.63333333333333319</c:v>
                </c:pt>
                <c:pt idx="10">
                  <c:v>-99</c:v>
                </c:pt>
                <c:pt idx="11">
                  <c:v>-99</c:v>
                </c:pt>
                <c:pt idx="12">
                  <c:v>-99</c:v>
                </c:pt>
                <c:pt idx="13">
                  <c:v>-99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17E-444B-A448-8B3FAC322978}"/>
            </c:ext>
          </c:extLst>
        </c:ser>
        <c:ser>
          <c:idx val="11"/>
          <c:order val="11"/>
          <c:spPr>
            <a:ln>
              <a:noFill/>
            </a:ln>
          </c:spPr>
          <c:marker>
            <c:symbol val="triangle"/>
            <c:size val="5"/>
            <c:spPr>
              <a:solidFill>
                <a:srgbClr val="00BF00"/>
              </a:solidFill>
              <a:ln>
                <a:solidFill>
                  <a:srgbClr val="008000"/>
                </a:solidFill>
              </a:ln>
            </c:spPr>
          </c:marker>
          <c:xVal>
            <c:numRef>
              <c:f>Filmtest!$AD$7:$AD$20</c:f>
              <c:numCache>
                <c:formatCode>0.00</c:formatCode>
                <c:ptCount val="14"/>
                <c:pt idx="0">
                  <c:v>-4.67</c:v>
                </c:pt>
                <c:pt idx="1">
                  <c:v>-3.67</c:v>
                </c:pt>
                <c:pt idx="2">
                  <c:v>-2.67</c:v>
                </c:pt>
                <c:pt idx="3">
                  <c:v>-1.67</c:v>
                </c:pt>
                <c:pt idx="4">
                  <c:v>-0.67</c:v>
                </c:pt>
                <c:pt idx="5">
                  <c:v>0.33</c:v>
                </c:pt>
                <c:pt idx="6">
                  <c:v>1.33</c:v>
                </c:pt>
                <c:pt idx="7">
                  <c:v>2.33</c:v>
                </c:pt>
                <c:pt idx="8">
                  <c:v>3.33</c:v>
                </c:pt>
                <c:pt idx="9">
                  <c:v>4.33</c:v>
                </c:pt>
                <c:pt idx="10">
                  <c:v>5.33</c:v>
                </c:pt>
                <c:pt idx="11">
                  <c:v>6.33</c:v>
                </c:pt>
                <c:pt idx="12">
                  <c:v>7.33</c:v>
                </c:pt>
                <c:pt idx="13">
                  <c:v>8.33</c:v>
                </c:pt>
              </c:numCache>
            </c:numRef>
          </c:xVal>
          <c:yVal>
            <c:numRef>
              <c:f>Filmtest!$AD$31:$AD$44</c:f>
              <c:numCache>
                <c:formatCode>General</c:formatCode>
                <c:ptCount val="14"/>
                <c:pt idx="0">
                  <c:v>-99</c:v>
                </c:pt>
                <c:pt idx="1">
                  <c:v>0.4</c:v>
                </c:pt>
                <c:pt idx="2">
                  <c:v>0.53333333333333333</c:v>
                </c:pt>
                <c:pt idx="3">
                  <c:v>0.61666666666666647</c:v>
                </c:pt>
                <c:pt idx="4">
                  <c:v>0.6166666666666667</c:v>
                </c:pt>
                <c:pt idx="5">
                  <c:v>0.625</c:v>
                </c:pt>
                <c:pt idx="6">
                  <c:v>0.63333333333333319</c:v>
                </c:pt>
                <c:pt idx="7">
                  <c:v>0.65000000000000024</c:v>
                </c:pt>
                <c:pt idx="8">
                  <c:v>0.66666666666666696</c:v>
                </c:pt>
                <c:pt idx="9">
                  <c:v>0.64999999999999991</c:v>
                </c:pt>
                <c:pt idx="10">
                  <c:v>0.61666666666666647</c:v>
                </c:pt>
                <c:pt idx="11">
                  <c:v>0.59999999999999987</c:v>
                </c:pt>
                <c:pt idx="12">
                  <c:v>-99</c:v>
                </c:pt>
                <c:pt idx="13">
                  <c:v>-99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17E-444B-A448-8B3FAC322978}"/>
            </c:ext>
          </c:extLst>
        </c:ser>
        <c:ser>
          <c:idx val="12"/>
          <c:order val="12"/>
          <c:spPr>
            <a:ln>
              <a:noFill/>
            </a:ln>
          </c:spPr>
          <c:marker>
            <c:symbol val="square"/>
            <c:size val="4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Filmtest!$AE$7:$AE$20</c:f>
              <c:numCache>
                <c:formatCode>0.00</c:formatCode>
                <c:ptCount val="14"/>
                <c:pt idx="0">
                  <c:v>-4.67</c:v>
                </c:pt>
                <c:pt idx="1">
                  <c:v>-3.67</c:v>
                </c:pt>
                <c:pt idx="2">
                  <c:v>-2.67</c:v>
                </c:pt>
                <c:pt idx="3">
                  <c:v>-1.67</c:v>
                </c:pt>
                <c:pt idx="4">
                  <c:v>-0.67</c:v>
                </c:pt>
                <c:pt idx="5">
                  <c:v>0.33</c:v>
                </c:pt>
                <c:pt idx="6">
                  <c:v>1.33</c:v>
                </c:pt>
                <c:pt idx="7">
                  <c:v>2.33</c:v>
                </c:pt>
                <c:pt idx="8">
                  <c:v>3.33</c:v>
                </c:pt>
                <c:pt idx="9">
                  <c:v>4.33</c:v>
                </c:pt>
                <c:pt idx="10">
                  <c:v>5.33</c:v>
                </c:pt>
                <c:pt idx="11">
                  <c:v>6.33</c:v>
                </c:pt>
                <c:pt idx="12">
                  <c:v>7.33</c:v>
                </c:pt>
                <c:pt idx="13">
                  <c:v>8.33</c:v>
                </c:pt>
              </c:numCache>
            </c:numRef>
          </c:xVal>
          <c:yVal>
            <c:numRef>
              <c:f>Filmtest!$AE$31:$AE$44</c:f>
              <c:numCache>
                <c:formatCode>General</c:formatCode>
                <c:ptCount val="14"/>
                <c:pt idx="0">
                  <c:v>-99</c:v>
                </c:pt>
                <c:pt idx="1">
                  <c:v>0.5</c:v>
                </c:pt>
                <c:pt idx="2">
                  <c:v>0.66666666666666674</c:v>
                </c:pt>
                <c:pt idx="3">
                  <c:v>0.66666666666666674</c:v>
                </c:pt>
                <c:pt idx="4">
                  <c:v>0.66666666666666663</c:v>
                </c:pt>
                <c:pt idx="5">
                  <c:v>0.67499999999999993</c:v>
                </c:pt>
                <c:pt idx="6">
                  <c:v>0.68333333333333346</c:v>
                </c:pt>
                <c:pt idx="7">
                  <c:v>0.69166666666666676</c:v>
                </c:pt>
                <c:pt idx="8">
                  <c:v>0.7</c:v>
                </c:pt>
                <c:pt idx="9">
                  <c:v>0.7</c:v>
                </c:pt>
                <c:pt idx="10">
                  <c:v>0.68333333333333324</c:v>
                </c:pt>
                <c:pt idx="11">
                  <c:v>0.66666666666666652</c:v>
                </c:pt>
                <c:pt idx="12">
                  <c:v>-99</c:v>
                </c:pt>
                <c:pt idx="13">
                  <c:v>-99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17E-444B-A448-8B3FAC322978}"/>
            </c:ext>
          </c:extLst>
        </c:ser>
        <c:ser>
          <c:idx val="13"/>
          <c:order val="13"/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Filmtest!$AF$7:$AF$20</c:f>
              <c:numCache>
                <c:formatCode>0.00</c:formatCode>
                <c:ptCount val="14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</c:numCache>
            </c:numRef>
          </c:xVal>
          <c:yVal>
            <c:numRef>
              <c:f>Filmtest!$AF$31:$AF$44</c:f>
              <c:numCache>
                <c:formatCode>General</c:formatCode>
                <c:ptCount val="14"/>
                <c:pt idx="0">
                  <c:v>-99</c:v>
                </c:pt>
                <c:pt idx="1">
                  <c:v>0.4</c:v>
                </c:pt>
                <c:pt idx="2">
                  <c:v>0.7</c:v>
                </c:pt>
                <c:pt idx="3">
                  <c:v>0.78333333333333355</c:v>
                </c:pt>
                <c:pt idx="4">
                  <c:v>0.78333333333333344</c:v>
                </c:pt>
                <c:pt idx="5">
                  <c:v>0.76666666666666661</c:v>
                </c:pt>
                <c:pt idx="6">
                  <c:v>0.75000000000000011</c:v>
                </c:pt>
                <c:pt idx="7">
                  <c:v>0.75833333333333353</c:v>
                </c:pt>
                <c:pt idx="8">
                  <c:v>0.76666666666666661</c:v>
                </c:pt>
                <c:pt idx="9">
                  <c:v>0.76666666666666661</c:v>
                </c:pt>
                <c:pt idx="10">
                  <c:v>0.76666666666666661</c:v>
                </c:pt>
                <c:pt idx="11">
                  <c:v>-99</c:v>
                </c:pt>
                <c:pt idx="12">
                  <c:v>-99</c:v>
                </c:pt>
                <c:pt idx="13">
                  <c:v>-99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17E-444B-A448-8B3FAC322978}"/>
            </c:ext>
          </c:extLst>
        </c:ser>
        <c:ser>
          <c:idx val="14"/>
          <c:order val="14"/>
          <c:spPr>
            <a:ln>
              <a:noFill/>
            </a:ln>
          </c:spPr>
          <c:marker>
            <c:symbol val="triang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Filmtest!$AG$7:$AG$20</c:f>
              <c:numCache>
                <c:formatCode>0.00</c:formatCode>
                <c:ptCount val="14"/>
                <c:pt idx="0">
                  <c:v>-5.33</c:v>
                </c:pt>
                <c:pt idx="1">
                  <c:v>-4.33</c:v>
                </c:pt>
                <c:pt idx="2">
                  <c:v>-3.33</c:v>
                </c:pt>
                <c:pt idx="3">
                  <c:v>-2.33</c:v>
                </c:pt>
                <c:pt idx="4">
                  <c:v>-1.33</c:v>
                </c:pt>
                <c:pt idx="5">
                  <c:v>-0.33</c:v>
                </c:pt>
                <c:pt idx="6">
                  <c:v>0.67</c:v>
                </c:pt>
                <c:pt idx="7">
                  <c:v>1.67</c:v>
                </c:pt>
                <c:pt idx="8">
                  <c:v>2.67</c:v>
                </c:pt>
                <c:pt idx="9">
                  <c:v>3.67</c:v>
                </c:pt>
                <c:pt idx="10">
                  <c:v>4.67</c:v>
                </c:pt>
                <c:pt idx="11">
                  <c:v>5.67</c:v>
                </c:pt>
                <c:pt idx="12">
                  <c:v>6.67</c:v>
                </c:pt>
                <c:pt idx="13">
                  <c:v>7.67</c:v>
                </c:pt>
              </c:numCache>
            </c:numRef>
          </c:xVal>
          <c:yVal>
            <c:numRef>
              <c:f>Filmtest!$AG$31:$AG$44</c:f>
              <c:numCache>
                <c:formatCode>General</c:formatCode>
                <c:ptCount val="14"/>
                <c:pt idx="0">
                  <c:v>-99</c:v>
                </c:pt>
                <c:pt idx="1">
                  <c:v>0.3</c:v>
                </c:pt>
                <c:pt idx="2">
                  <c:v>0.76666666666666661</c:v>
                </c:pt>
                <c:pt idx="3">
                  <c:v>0.91666666666666674</c:v>
                </c:pt>
                <c:pt idx="4">
                  <c:v>0.91666666666666674</c:v>
                </c:pt>
                <c:pt idx="5">
                  <c:v>0.90833333333333321</c:v>
                </c:pt>
                <c:pt idx="6">
                  <c:v>0.89999999999999991</c:v>
                </c:pt>
                <c:pt idx="7">
                  <c:v>0.85000000000000009</c:v>
                </c:pt>
                <c:pt idx="8">
                  <c:v>0.8</c:v>
                </c:pt>
                <c:pt idx="9">
                  <c:v>0.80000000000000038</c:v>
                </c:pt>
                <c:pt idx="10">
                  <c:v>0.78333333333333366</c:v>
                </c:pt>
                <c:pt idx="11">
                  <c:v>0.76666666666666661</c:v>
                </c:pt>
                <c:pt idx="12">
                  <c:v>-99</c:v>
                </c:pt>
                <c:pt idx="13">
                  <c:v>-99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417E-444B-A448-8B3FAC322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8553760"/>
        <c:axId val="468554936"/>
      </c:scatterChart>
      <c:scatterChart>
        <c:scatterStyle val="smoothMarker"/>
        <c:varyColors val="0"/>
        <c:ser>
          <c:idx val="2"/>
          <c:order val="3"/>
          <c:tx>
            <c:v>Test1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Filmtest!$AB$7:$AB$20</c:f>
              <c:numCache>
                <c:formatCode>0.00</c:formatCode>
                <c:ptCount val="14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</c:numCache>
            </c:numRef>
          </c:xVal>
          <c:yVal>
            <c:numRef>
              <c:f>Filmtest!$B$7:$B$20</c:f>
              <c:numCache>
                <c:formatCode>0.00</c:formatCode>
                <c:ptCount val="14"/>
                <c:pt idx="1">
                  <c:v>0.1</c:v>
                </c:pt>
                <c:pt idx="2">
                  <c:v>0.2</c:v>
                </c:pt>
                <c:pt idx="3">
                  <c:v>0.33</c:v>
                </c:pt>
                <c:pt idx="4">
                  <c:v>0.47499999999999998</c:v>
                </c:pt>
                <c:pt idx="5">
                  <c:v>0.62</c:v>
                </c:pt>
                <c:pt idx="6">
                  <c:v>0.78</c:v>
                </c:pt>
                <c:pt idx="7">
                  <c:v>0.94</c:v>
                </c:pt>
                <c:pt idx="8">
                  <c:v>1.1000000000000001</c:v>
                </c:pt>
                <c:pt idx="9">
                  <c:v>1.27</c:v>
                </c:pt>
                <c:pt idx="10">
                  <c:v>1.43</c:v>
                </c:pt>
                <c:pt idx="11">
                  <c:v>1.58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417E-444B-A448-8B3FAC322978}"/>
            </c:ext>
          </c:extLst>
        </c:ser>
        <c:ser>
          <c:idx val="3"/>
          <c:order val="4"/>
          <c:tx>
            <c:v>Test2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Filmtest!$AC$7:$AC$20</c:f>
              <c:numCache>
                <c:formatCode>0.00</c:formatCode>
                <c:ptCount val="14"/>
                <c:pt idx="0">
                  <c:v>-4.33</c:v>
                </c:pt>
                <c:pt idx="1">
                  <c:v>-3.33</c:v>
                </c:pt>
                <c:pt idx="2">
                  <c:v>-2.33</c:v>
                </c:pt>
                <c:pt idx="3">
                  <c:v>-1.33</c:v>
                </c:pt>
                <c:pt idx="4">
                  <c:v>-0.33</c:v>
                </c:pt>
                <c:pt idx="5">
                  <c:v>0.67</c:v>
                </c:pt>
                <c:pt idx="6">
                  <c:v>1.67</c:v>
                </c:pt>
                <c:pt idx="7">
                  <c:v>2.67</c:v>
                </c:pt>
                <c:pt idx="8">
                  <c:v>3.67</c:v>
                </c:pt>
                <c:pt idx="9">
                  <c:v>4.67</c:v>
                </c:pt>
                <c:pt idx="10">
                  <c:v>5.67</c:v>
                </c:pt>
                <c:pt idx="11">
                  <c:v>6.67</c:v>
                </c:pt>
                <c:pt idx="12">
                  <c:v>7.67</c:v>
                </c:pt>
                <c:pt idx="13">
                  <c:v>8.67</c:v>
                </c:pt>
              </c:numCache>
            </c:numRef>
          </c:xVal>
          <c:yVal>
            <c:numRef>
              <c:f>Filmtest!$C$7:$C$20</c:f>
              <c:numCache>
                <c:formatCode>0.00</c:formatCode>
                <c:ptCount val="14"/>
                <c:pt idx="1">
                  <c:v>0.14000000000000001</c:v>
                </c:pt>
                <c:pt idx="2">
                  <c:v>0.27</c:v>
                </c:pt>
                <c:pt idx="3">
                  <c:v>0.43</c:v>
                </c:pt>
                <c:pt idx="4">
                  <c:v>0.6</c:v>
                </c:pt>
                <c:pt idx="5">
                  <c:v>0.77</c:v>
                </c:pt>
                <c:pt idx="6">
                  <c:v>0.94</c:v>
                </c:pt>
                <c:pt idx="7">
                  <c:v>1.1200000000000001</c:v>
                </c:pt>
                <c:pt idx="8">
                  <c:v>1.3</c:v>
                </c:pt>
                <c:pt idx="9">
                  <c:v>1.49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A-417E-444B-A448-8B3FAC322978}"/>
            </c:ext>
          </c:extLst>
        </c:ser>
        <c:ser>
          <c:idx val="4"/>
          <c:order val="5"/>
          <c:tx>
            <c:v>Test3</c:v>
          </c:tx>
          <c:spPr>
            <a:ln>
              <a:solidFill>
                <a:srgbClr val="00BF00"/>
              </a:solidFill>
            </a:ln>
          </c:spPr>
          <c:marker>
            <c:symbol val="none"/>
          </c:marker>
          <c:xVal>
            <c:numRef>
              <c:f>Filmtest!$AD$7:$AD$20</c:f>
              <c:numCache>
                <c:formatCode>0.00</c:formatCode>
                <c:ptCount val="14"/>
                <c:pt idx="0">
                  <c:v>-4.67</c:v>
                </c:pt>
                <c:pt idx="1">
                  <c:v>-3.67</c:v>
                </c:pt>
                <c:pt idx="2">
                  <c:v>-2.67</c:v>
                </c:pt>
                <c:pt idx="3">
                  <c:v>-1.67</c:v>
                </c:pt>
                <c:pt idx="4">
                  <c:v>-0.67</c:v>
                </c:pt>
                <c:pt idx="5">
                  <c:v>0.33</c:v>
                </c:pt>
                <c:pt idx="6">
                  <c:v>1.33</c:v>
                </c:pt>
                <c:pt idx="7">
                  <c:v>2.33</c:v>
                </c:pt>
                <c:pt idx="8">
                  <c:v>3.33</c:v>
                </c:pt>
                <c:pt idx="9">
                  <c:v>4.33</c:v>
                </c:pt>
                <c:pt idx="10">
                  <c:v>5.33</c:v>
                </c:pt>
                <c:pt idx="11">
                  <c:v>6.33</c:v>
                </c:pt>
                <c:pt idx="12">
                  <c:v>7.33</c:v>
                </c:pt>
                <c:pt idx="13">
                  <c:v>8.33</c:v>
                </c:pt>
              </c:numCache>
            </c:numRef>
          </c:xVal>
          <c:yVal>
            <c:numRef>
              <c:f>Filmtest!$D$7:$D$20</c:f>
              <c:numCache>
                <c:formatCode>0.00</c:formatCode>
                <c:ptCount val="14"/>
                <c:pt idx="1">
                  <c:v>0.11</c:v>
                </c:pt>
                <c:pt idx="2">
                  <c:v>0.23</c:v>
                </c:pt>
                <c:pt idx="3">
                  <c:v>0.39</c:v>
                </c:pt>
                <c:pt idx="4">
                  <c:v>0.57499999999999996</c:v>
                </c:pt>
                <c:pt idx="5">
                  <c:v>0.76</c:v>
                </c:pt>
                <c:pt idx="6">
                  <c:v>0.95</c:v>
                </c:pt>
                <c:pt idx="7">
                  <c:v>1.1399999999999999</c:v>
                </c:pt>
                <c:pt idx="8">
                  <c:v>1.34</c:v>
                </c:pt>
                <c:pt idx="9">
                  <c:v>1.54</c:v>
                </c:pt>
                <c:pt idx="10">
                  <c:v>1.73</c:v>
                </c:pt>
                <c:pt idx="11">
                  <c:v>1.91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B-417E-444B-A448-8B3FAC322978}"/>
            </c:ext>
          </c:extLst>
        </c:ser>
        <c:ser>
          <c:idx val="6"/>
          <c:order val="6"/>
          <c:tx>
            <c:v>Test4</c:v>
          </c:tx>
          <c:marker>
            <c:symbol val="none"/>
          </c:marker>
          <c:xVal>
            <c:numRef>
              <c:f>Filmtest!$AE$7:$AE$20</c:f>
              <c:numCache>
                <c:formatCode>0.00</c:formatCode>
                <c:ptCount val="14"/>
                <c:pt idx="0">
                  <c:v>-4.67</c:v>
                </c:pt>
                <c:pt idx="1">
                  <c:v>-3.67</c:v>
                </c:pt>
                <c:pt idx="2">
                  <c:v>-2.67</c:v>
                </c:pt>
                <c:pt idx="3">
                  <c:v>-1.67</c:v>
                </c:pt>
                <c:pt idx="4">
                  <c:v>-0.67</c:v>
                </c:pt>
                <c:pt idx="5">
                  <c:v>0.33</c:v>
                </c:pt>
                <c:pt idx="6">
                  <c:v>1.33</c:v>
                </c:pt>
                <c:pt idx="7">
                  <c:v>2.33</c:v>
                </c:pt>
                <c:pt idx="8">
                  <c:v>3.33</c:v>
                </c:pt>
                <c:pt idx="9">
                  <c:v>4.33</c:v>
                </c:pt>
                <c:pt idx="10">
                  <c:v>5.33</c:v>
                </c:pt>
                <c:pt idx="11">
                  <c:v>6.33</c:v>
                </c:pt>
                <c:pt idx="12">
                  <c:v>7.33</c:v>
                </c:pt>
                <c:pt idx="13">
                  <c:v>8.33</c:v>
                </c:pt>
              </c:numCache>
            </c:numRef>
          </c:xVal>
          <c:yVal>
            <c:numRef>
              <c:f>Filmtest!$E$7:$E$20</c:f>
              <c:numCache>
                <c:formatCode>0.00</c:formatCode>
                <c:ptCount val="14"/>
                <c:pt idx="1">
                  <c:v>0.1</c:v>
                </c:pt>
                <c:pt idx="2">
                  <c:v>0.25</c:v>
                </c:pt>
                <c:pt idx="3">
                  <c:v>0.45</c:v>
                </c:pt>
                <c:pt idx="4">
                  <c:v>0.65</c:v>
                </c:pt>
                <c:pt idx="5">
                  <c:v>0.85</c:v>
                </c:pt>
                <c:pt idx="6">
                  <c:v>1.0549999999999999</c:v>
                </c:pt>
                <c:pt idx="7">
                  <c:v>1.26</c:v>
                </c:pt>
                <c:pt idx="8">
                  <c:v>1.47</c:v>
                </c:pt>
                <c:pt idx="9">
                  <c:v>1.68</c:v>
                </c:pt>
                <c:pt idx="10">
                  <c:v>1.89</c:v>
                </c:pt>
                <c:pt idx="11">
                  <c:v>2.09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C-417E-444B-A448-8B3FAC322978}"/>
            </c:ext>
          </c:extLst>
        </c:ser>
        <c:ser>
          <c:idx val="7"/>
          <c:order val="7"/>
          <c:tx>
            <c:v>Test5</c:v>
          </c:tx>
          <c:marker>
            <c:symbol val="none"/>
          </c:marker>
          <c:xVal>
            <c:numRef>
              <c:f>Filmtest!$AF$7:$AF$20</c:f>
              <c:numCache>
                <c:formatCode>0.00</c:formatCode>
                <c:ptCount val="14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</c:numCache>
            </c:numRef>
          </c:xVal>
          <c:yVal>
            <c:numRef>
              <c:f>Filmtest!$F$7:$F$20</c:f>
              <c:numCache>
                <c:formatCode>0.00</c:formatCode>
                <c:ptCount val="14"/>
                <c:pt idx="1">
                  <c:v>0.08</c:v>
                </c:pt>
                <c:pt idx="2">
                  <c:v>0.2</c:v>
                </c:pt>
                <c:pt idx="3">
                  <c:v>0.41</c:v>
                </c:pt>
                <c:pt idx="4">
                  <c:v>0.64500000000000002</c:v>
                </c:pt>
                <c:pt idx="5">
                  <c:v>0.88</c:v>
                </c:pt>
                <c:pt idx="6">
                  <c:v>1.105</c:v>
                </c:pt>
                <c:pt idx="7">
                  <c:v>1.33</c:v>
                </c:pt>
                <c:pt idx="8">
                  <c:v>1.56</c:v>
                </c:pt>
                <c:pt idx="9">
                  <c:v>1.79</c:v>
                </c:pt>
                <c:pt idx="10">
                  <c:v>2.02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417E-444B-A448-8B3FAC322978}"/>
            </c:ext>
          </c:extLst>
        </c:ser>
        <c:ser>
          <c:idx val="8"/>
          <c:order val="8"/>
          <c:tx>
            <c:v>Test6</c:v>
          </c:tx>
          <c:marker>
            <c:symbol val="none"/>
          </c:marker>
          <c:xVal>
            <c:numRef>
              <c:f>Filmtest!$AG$7:$AG$20</c:f>
              <c:numCache>
                <c:formatCode>0.00</c:formatCode>
                <c:ptCount val="14"/>
                <c:pt idx="0">
                  <c:v>-5.33</c:v>
                </c:pt>
                <c:pt idx="1">
                  <c:v>-4.33</c:v>
                </c:pt>
                <c:pt idx="2">
                  <c:v>-3.33</c:v>
                </c:pt>
                <c:pt idx="3">
                  <c:v>-2.33</c:v>
                </c:pt>
                <c:pt idx="4">
                  <c:v>-1.33</c:v>
                </c:pt>
                <c:pt idx="5">
                  <c:v>-0.33</c:v>
                </c:pt>
                <c:pt idx="6">
                  <c:v>0.67</c:v>
                </c:pt>
                <c:pt idx="7">
                  <c:v>1.67</c:v>
                </c:pt>
                <c:pt idx="8">
                  <c:v>2.67</c:v>
                </c:pt>
                <c:pt idx="9">
                  <c:v>3.67</c:v>
                </c:pt>
                <c:pt idx="10">
                  <c:v>4.67</c:v>
                </c:pt>
                <c:pt idx="11">
                  <c:v>5.67</c:v>
                </c:pt>
                <c:pt idx="12">
                  <c:v>6.67</c:v>
                </c:pt>
                <c:pt idx="13">
                  <c:v>7.67</c:v>
                </c:pt>
              </c:numCache>
            </c:numRef>
          </c:xVal>
          <c:yVal>
            <c:numRef>
              <c:f>Filmtest!$G$7:$G$20</c:f>
              <c:numCache>
                <c:formatCode>0.00</c:formatCode>
                <c:ptCount val="14"/>
                <c:pt idx="1">
                  <c:v>0.03</c:v>
                </c:pt>
                <c:pt idx="2">
                  <c:v>0.12</c:v>
                </c:pt>
                <c:pt idx="3">
                  <c:v>0.35</c:v>
                </c:pt>
                <c:pt idx="4">
                  <c:v>0.625</c:v>
                </c:pt>
                <c:pt idx="5">
                  <c:v>0.9</c:v>
                </c:pt>
                <c:pt idx="6">
                  <c:v>1.17</c:v>
                </c:pt>
                <c:pt idx="7">
                  <c:v>1.44</c:v>
                </c:pt>
                <c:pt idx="8">
                  <c:v>1.68</c:v>
                </c:pt>
                <c:pt idx="9">
                  <c:v>1.92</c:v>
                </c:pt>
                <c:pt idx="10">
                  <c:v>2.16</c:v>
                </c:pt>
                <c:pt idx="11">
                  <c:v>2.39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E-417E-444B-A448-8B3FAC322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8553760"/>
        <c:axId val="468554936"/>
      </c:scatterChart>
      <c:valAx>
        <c:axId val="468553760"/>
        <c:scaling>
          <c:orientation val="minMax"/>
          <c:max val="7"/>
          <c:min val="-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title>
          <c:tx>
            <c:strRef>
              <c:f>Filmtest!$AB$53</c:f>
              <c:strCache>
                <c:ptCount val="1"/>
                <c:pt idx="0">
                  <c:v>Unter-/Überbelichtung in EV-Stufen (Zeit- oder Blendenstufen),
gestrichelte Linien entsprechen Gammawerten 0,55 / 0,65 / 0,75</c:v>
                </c:pt>
              </c:strCache>
            </c:strRef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8554936"/>
        <c:crossesAt val="0"/>
        <c:crossBetween val="midCat"/>
        <c:majorUnit val="1"/>
        <c:minorUnit val="0.33333333333000165"/>
      </c:valAx>
      <c:valAx>
        <c:axId val="468554936"/>
        <c:scaling>
          <c:orientation val="minMax"/>
          <c:max val="2.200000000000000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title>
          <c:tx>
            <c:strRef>
              <c:f>Filmtest!$AB$54</c:f>
              <c:strCache>
                <c:ptCount val="1"/>
                <c:pt idx="0">
                  <c:v>Dichte, bzw. Partialkontrast (• •)</c:v>
                </c:pt>
              </c:strCache>
            </c:strRef>
          </c:tx>
          <c:layout/>
          <c:overlay val="0"/>
        </c:title>
        <c:numFmt formatCode="General" sourceLinked="1"/>
        <c:majorTickMark val="out"/>
        <c:minorTickMark val="out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8553760"/>
        <c:crossesAt val="-5"/>
        <c:crossBetween val="midCat"/>
        <c:majorUnit val="0.2"/>
        <c:minorUnit val="0.1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727" footer="0.4921259845000072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95566389231894"/>
          <c:y val="3.0631554288113982E-2"/>
          <c:w val="0.76636548556430439"/>
          <c:h val="0.74350320793234181"/>
        </c:manualLayout>
      </c:layout>
      <c:scatterChart>
        <c:scatterStyle val="lineMarker"/>
        <c:varyColors val="0"/>
        <c:ser>
          <c:idx val="0"/>
          <c:order val="0"/>
          <c:tx>
            <c:strRef>
              <c:f>Filmtest!$K$7</c:f>
              <c:strCache>
                <c:ptCount val="1"/>
                <c:pt idx="0">
                  <c:v>gamma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Filmtest!$J$8:$J$13</c:f>
              <c:numCache>
                <c:formatCode>0.00</c:formatCode>
                <c:ptCount val="6"/>
                <c:pt idx="0">
                  <c:v>5.6166666666666671</c:v>
                </c:pt>
                <c:pt idx="1">
                  <c:v>6.75</c:v>
                </c:pt>
                <c:pt idx="2">
                  <c:v>8.1</c:v>
                </c:pt>
                <c:pt idx="3">
                  <c:v>9.7166666666666668</c:v>
                </c:pt>
                <c:pt idx="4">
                  <c:v>11.666666666666666</c:v>
                </c:pt>
                <c:pt idx="5">
                  <c:v>16.783333333333335</c:v>
                </c:pt>
              </c:numCache>
            </c:numRef>
          </c:xVal>
          <c:yVal>
            <c:numRef>
              <c:f>Filmtest!$K$8:$K$13</c:f>
              <c:numCache>
                <c:formatCode>0.00</c:formatCode>
                <c:ptCount val="6"/>
                <c:pt idx="0">
                  <c:v>0.5083333333333333</c:v>
                </c:pt>
                <c:pt idx="1">
                  <c:v>0.56666666666666665</c:v>
                </c:pt>
                <c:pt idx="2">
                  <c:v>0.625</c:v>
                </c:pt>
                <c:pt idx="3">
                  <c:v>0.67499999999999993</c:v>
                </c:pt>
                <c:pt idx="4">
                  <c:v>0.76666666666666672</c:v>
                </c:pt>
                <c:pt idx="5">
                  <c:v>0.90833333333333321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8557680"/>
        <c:axId val="468554152"/>
      </c:scatterChart>
      <c:scatterChart>
        <c:scatterStyle val="lineMarker"/>
        <c:varyColors val="0"/>
        <c:ser>
          <c:idx val="1"/>
          <c:order val="1"/>
          <c:tx>
            <c:v>ISO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Filmtest!$J$8:$J$13</c:f>
              <c:numCache>
                <c:formatCode>0.00</c:formatCode>
                <c:ptCount val="6"/>
                <c:pt idx="0">
                  <c:v>5.6166666666666671</c:v>
                </c:pt>
                <c:pt idx="1">
                  <c:v>6.75</c:v>
                </c:pt>
                <c:pt idx="2">
                  <c:v>8.1</c:v>
                </c:pt>
                <c:pt idx="3">
                  <c:v>9.7166666666666668</c:v>
                </c:pt>
                <c:pt idx="4">
                  <c:v>11.666666666666666</c:v>
                </c:pt>
                <c:pt idx="5">
                  <c:v>16.783333333333335</c:v>
                </c:pt>
              </c:numCache>
            </c:numRef>
          </c:xVal>
          <c:yVal>
            <c:numRef>
              <c:f>Filmtest!$L$8:$L$13</c:f>
              <c:numCache>
                <c:formatCode>0.00</c:formatCode>
                <c:ptCount val="6"/>
                <c:pt idx="0">
                  <c:v>100</c:v>
                </c:pt>
                <c:pt idx="1">
                  <c:v>160</c:v>
                </c:pt>
                <c:pt idx="2">
                  <c:v>160</c:v>
                </c:pt>
                <c:pt idx="3">
                  <c:v>200</c:v>
                </c:pt>
                <c:pt idx="4">
                  <c:v>200</c:v>
                </c:pt>
                <c:pt idx="5">
                  <c:v>250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8551016"/>
        <c:axId val="468556896"/>
      </c:scatterChart>
      <c:valAx>
        <c:axId val="468557680"/>
        <c:scaling>
          <c:orientation val="minMax"/>
          <c:max val="18"/>
          <c:min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Entw.-Zeit / dev.time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8554152"/>
        <c:crosses val="autoZero"/>
        <c:crossBetween val="midCat"/>
      </c:valAx>
      <c:valAx>
        <c:axId val="468554152"/>
        <c:scaling>
          <c:orientation val="minMax"/>
          <c:max val="0.95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gamma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8557680"/>
        <c:crosses val="autoZero"/>
        <c:crossBetween val="midCat"/>
      </c:valAx>
      <c:valAx>
        <c:axId val="468556896"/>
        <c:scaling>
          <c:orientation val="minMax"/>
          <c:max val="500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8551016"/>
        <c:crosses val="max"/>
        <c:crossBetween val="midCat"/>
      </c:valAx>
      <c:valAx>
        <c:axId val="46855101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68556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490266841644795"/>
          <c:y val="0.56033740251962072"/>
          <c:w val="0.15898622047244093"/>
          <c:h val="0.136987238263923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104775</xdr:rowOff>
    </xdr:from>
    <xdr:to>
      <xdr:col>7</xdr:col>
      <xdr:colOff>0</xdr:colOff>
      <xdr:row>54</xdr:row>
      <xdr:rowOff>152400</xdr:rowOff>
    </xdr:to>
    <xdr:graphicFrame macro="">
      <xdr:nvGraphicFramePr>
        <xdr:cNvPr id="1028" name="Chart 1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0</xdr:row>
          <xdr:rowOff>0</xdr:rowOff>
        </xdr:from>
        <xdr:to>
          <xdr:col>7</xdr:col>
          <xdr:colOff>762000</xdr:colOff>
          <xdr:row>1</xdr:row>
          <xdr:rowOff>0</xdr:rowOff>
        </xdr:to>
        <xdr:sp macro="" textlink="">
          <xdr:nvSpPr>
            <xdr:cNvPr id="1037" name="OptionLanguage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0</xdr:row>
          <xdr:rowOff>209550</xdr:rowOff>
        </xdr:from>
        <xdr:to>
          <xdr:col>7</xdr:col>
          <xdr:colOff>771525</xdr:colOff>
          <xdr:row>2</xdr:row>
          <xdr:rowOff>0</xdr:rowOff>
        </xdr:to>
        <xdr:sp macro="" textlink="">
          <xdr:nvSpPr>
            <xdr:cNvPr id="1038" name="OptionButton1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7</xdr:col>
      <xdr:colOff>781049</xdr:colOff>
      <xdr:row>27</xdr:row>
      <xdr:rowOff>147636</xdr:rowOff>
    </xdr:from>
    <xdr:to>
      <xdr:col>14</xdr:col>
      <xdr:colOff>19049</xdr:colOff>
      <xdr:row>47</xdr:row>
      <xdr:rowOff>38099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505170</xdr:colOff>
      <xdr:row>34</xdr:row>
      <xdr:rowOff>112463</xdr:rowOff>
    </xdr:from>
    <xdr:to>
      <xdr:col>13</xdr:col>
      <xdr:colOff>762346</xdr:colOff>
      <xdr:row>37</xdr:row>
      <xdr:rowOff>45788</xdr:rowOff>
    </xdr:to>
    <xdr:sp macro="" textlink="">
      <xdr:nvSpPr>
        <xdr:cNvPr id="5" name="Textfeld 4"/>
        <xdr:cNvSpPr txBox="1"/>
      </xdr:nvSpPr>
      <xdr:spPr>
        <a:xfrm rot="16200000">
          <a:off x="11104429" y="5791773"/>
          <a:ext cx="415313" cy="257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ISO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http://www.anzinger-online.de/Foto/filmtest.html" TargetMode="External"/><Relationship Id="rId7" Type="http://schemas.openxmlformats.org/officeDocument/2006/relationships/control" Target="../activeX/activeX1.xml"/><Relationship Id="rId2" Type="http://schemas.openxmlformats.org/officeDocument/2006/relationships/hyperlink" Target="http://www.anzinger-online.de/Foto/filmtest.html" TargetMode="External"/><Relationship Id="rId1" Type="http://schemas.openxmlformats.org/officeDocument/2006/relationships/hyperlink" Target="http://www.anzinger-online.de/Foto" TargetMode="External"/><Relationship Id="rId6" Type="http://schemas.openxmlformats.org/officeDocument/2006/relationships/vmlDrawing" Target="../drawings/vmlDrawing1.vml"/><Relationship Id="rId11" Type="http://schemas.openxmlformats.org/officeDocument/2006/relationships/comments" Target="../comments1.xml"/><Relationship Id="rId5" Type="http://schemas.openxmlformats.org/officeDocument/2006/relationships/drawing" Target="../drawings/drawing1.xml"/><Relationship Id="rId10" Type="http://schemas.openxmlformats.org/officeDocument/2006/relationships/image" Target="../media/image2.emf"/><Relationship Id="rId4" Type="http://schemas.openxmlformats.org/officeDocument/2006/relationships/printerSettings" Target="../printerSettings/printerSettings1.bin"/><Relationship Id="rId9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BP77"/>
  <sheetViews>
    <sheetView tabSelected="1" zoomScale="90" zoomScaleNormal="90" workbookViewId="0">
      <selection activeCell="L55" sqref="L55"/>
    </sheetView>
  </sheetViews>
  <sheetFormatPr baseColWidth="10" defaultColWidth="11.5703125" defaultRowHeight="12.75" x14ac:dyDescent="0.2"/>
  <cols>
    <col min="1" max="1" width="22.7109375" customWidth="1"/>
    <col min="2" max="7" width="11.28515625" customWidth="1"/>
    <col min="8" max="8" width="12.140625" bestFit="1" customWidth="1"/>
    <col min="27" max="27" width="11.5703125" style="24"/>
  </cols>
  <sheetData>
    <row r="1" spans="1:68" s="45" customFormat="1" ht="18.75" thickBot="1" x14ac:dyDescent="0.3">
      <c r="A1" s="1" t="str">
        <f>IF(german,"Filmsorte:","Kind of film:")</f>
        <v>Filmsorte:</v>
      </c>
      <c r="B1" s="2" t="s">
        <v>111</v>
      </c>
      <c r="C1" s="2"/>
      <c r="D1" s="2"/>
      <c r="E1" s="2"/>
      <c r="F1" s="2"/>
      <c r="G1" s="2"/>
      <c r="I1" s="144" t="s">
        <v>61</v>
      </c>
      <c r="J1" s="144"/>
      <c r="K1" s="144"/>
      <c r="L1" s="144"/>
      <c r="AA1" s="1"/>
    </row>
    <row r="2" spans="1:68" x14ac:dyDescent="0.2">
      <c r="A2" s="3" t="str">
        <f>IF(german,"Datum des Tests","date of test")</f>
        <v>Datum des Tests</v>
      </c>
      <c r="B2" s="48">
        <v>45572</v>
      </c>
      <c r="C2" s="4">
        <v>45571</v>
      </c>
      <c r="D2" s="4">
        <v>45571</v>
      </c>
      <c r="E2" s="4">
        <v>45571</v>
      </c>
      <c r="F2" s="4">
        <v>45572</v>
      </c>
      <c r="G2" s="5">
        <v>45573</v>
      </c>
      <c r="AB2" s="6">
        <f t="shared" ref="AB2:AG2" si="0">ROUND(21+3*LOG(B$3/100,2),0)+B$21</f>
        <v>21</v>
      </c>
      <c r="AC2" s="6">
        <f t="shared" si="0"/>
        <v>23</v>
      </c>
      <c r="AD2" s="6">
        <f t="shared" si="0"/>
        <v>23</v>
      </c>
      <c r="AE2" s="6">
        <f t="shared" si="0"/>
        <v>24</v>
      </c>
      <c r="AF2" s="6">
        <f t="shared" si="0"/>
        <v>24</v>
      </c>
      <c r="AG2" s="6">
        <f t="shared" si="0"/>
        <v>25</v>
      </c>
      <c r="AI2">
        <v>9</v>
      </c>
      <c r="AJ2">
        <v>10</v>
      </c>
      <c r="AK2">
        <v>11</v>
      </c>
      <c r="AL2">
        <v>12</v>
      </c>
      <c r="AM2">
        <v>13</v>
      </c>
      <c r="AN2">
        <v>14</v>
      </c>
      <c r="AO2">
        <v>15</v>
      </c>
      <c r="AP2">
        <v>16</v>
      </c>
      <c r="AQ2">
        <v>17</v>
      </c>
      <c r="AR2">
        <v>18</v>
      </c>
      <c r="AS2">
        <v>19</v>
      </c>
      <c r="AT2">
        <v>20</v>
      </c>
      <c r="AU2">
        <v>21</v>
      </c>
      <c r="AV2">
        <v>22</v>
      </c>
      <c r="AW2">
        <v>23</v>
      </c>
      <c r="AX2">
        <v>24</v>
      </c>
      <c r="AY2">
        <v>25</v>
      </c>
      <c r="AZ2">
        <v>26</v>
      </c>
      <c r="BA2">
        <v>27</v>
      </c>
      <c r="BB2">
        <v>28</v>
      </c>
      <c r="BC2">
        <v>29</v>
      </c>
      <c r="BD2">
        <v>30</v>
      </c>
      <c r="BE2">
        <v>31</v>
      </c>
      <c r="BF2">
        <v>32</v>
      </c>
      <c r="BG2">
        <v>33</v>
      </c>
      <c r="BH2">
        <v>34</v>
      </c>
      <c r="BI2">
        <v>35</v>
      </c>
      <c r="BJ2">
        <v>36</v>
      </c>
      <c r="BK2">
        <v>37</v>
      </c>
      <c r="BL2">
        <v>38</v>
      </c>
      <c r="BM2">
        <v>39</v>
      </c>
      <c r="BN2">
        <v>40</v>
      </c>
      <c r="BO2">
        <v>41</v>
      </c>
      <c r="BP2">
        <v>42</v>
      </c>
    </row>
    <row r="3" spans="1:68" x14ac:dyDescent="0.2">
      <c r="A3" s="7" t="str">
        <f>IF(german,"Belichtungsmesser ISO","light meter at ISO")</f>
        <v>Belichtungsmesser ISO</v>
      </c>
      <c r="B3" s="49">
        <v>100</v>
      </c>
      <c r="C3" s="50">
        <v>100</v>
      </c>
      <c r="D3" s="50">
        <v>125</v>
      </c>
      <c r="E3" s="50">
        <v>160</v>
      </c>
      <c r="F3" s="50">
        <v>200</v>
      </c>
      <c r="G3" s="8">
        <v>320</v>
      </c>
      <c r="I3" t="str">
        <f>IF(german,"Anleitung zum Eintesten von SW-Filmen:","Instruction for testing of B&amp;W films (German language, but with a choice of translation e.g. by Google):")</f>
        <v>Anleitung zum Eintesten von SW-Filmen:</v>
      </c>
      <c r="AB3" s="9">
        <f t="shared" ref="AB3:AG3" si="1">HLOOKUP(AB$2,$AI$2:$BP$3,2)</f>
        <v>100</v>
      </c>
      <c r="AC3" s="9">
        <f t="shared" si="1"/>
        <v>160</v>
      </c>
      <c r="AD3" s="9">
        <f t="shared" si="1"/>
        <v>160</v>
      </c>
      <c r="AE3" s="9">
        <f t="shared" si="1"/>
        <v>200</v>
      </c>
      <c r="AF3" s="9">
        <f t="shared" si="1"/>
        <v>200</v>
      </c>
      <c r="AG3" s="9">
        <f t="shared" si="1"/>
        <v>250</v>
      </c>
      <c r="AI3">
        <v>6</v>
      </c>
      <c r="AJ3">
        <v>8</v>
      </c>
      <c r="AK3">
        <v>10</v>
      </c>
      <c r="AL3">
        <v>12</v>
      </c>
      <c r="AM3">
        <v>16</v>
      </c>
      <c r="AN3">
        <v>20</v>
      </c>
      <c r="AO3">
        <v>25</v>
      </c>
      <c r="AP3">
        <v>32</v>
      </c>
      <c r="AQ3">
        <v>40</v>
      </c>
      <c r="AR3">
        <v>50</v>
      </c>
      <c r="AS3">
        <v>64</v>
      </c>
      <c r="AT3">
        <v>80</v>
      </c>
      <c r="AU3">
        <v>100</v>
      </c>
      <c r="AV3">
        <v>125</v>
      </c>
      <c r="AW3">
        <v>160</v>
      </c>
      <c r="AX3">
        <v>200</v>
      </c>
      <c r="AY3">
        <v>250</v>
      </c>
      <c r="AZ3">
        <v>320</v>
      </c>
      <c r="BA3">
        <v>400</v>
      </c>
      <c r="BB3">
        <v>500</v>
      </c>
      <c r="BC3">
        <v>640</v>
      </c>
      <c r="BD3">
        <v>800</v>
      </c>
      <c r="BE3">
        <v>1000</v>
      </c>
      <c r="BF3">
        <v>1250</v>
      </c>
      <c r="BG3">
        <v>1600</v>
      </c>
      <c r="BH3">
        <v>2000</v>
      </c>
      <c r="BI3">
        <v>2500</v>
      </c>
      <c r="BJ3">
        <v>3200</v>
      </c>
      <c r="BK3">
        <v>4000</v>
      </c>
      <c r="BL3">
        <v>5000</v>
      </c>
      <c r="BM3">
        <v>6400</v>
      </c>
      <c r="BN3">
        <v>8000</v>
      </c>
      <c r="BO3">
        <v>10000</v>
      </c>
      <c r="BP3">
        <v>12800</v>
      </c>
    </row>
    <row r="4" spans="1:68" x14ac:dyDescent="0.2">
      <c r="A4" s="10" t="str">
        <f>IF(german,"Entwickler, Verdünnung","developer, dilution")</f>
        <v>Entwickler, Verdünnung</v>
      </c>
      <c r="B4" s="100" t="s">
        <v>114</v>
      </c>
      <c r="C4" s="52" t="s">
        <v>114</v>
      </c>
      <c r="D4" s="105" t="s">
        <v>114</v>
      </c>
      <c r="E4" s="50" t="s">
        <v>114</v>
      </c>
      <c r="F4" s="50" t="s">
        <v>114</v>
      </c>
      <c r="G4" s="51" t="s">
        <v>114</v>
      </c>
      <c r="H4" s="24"/>
      <c r="I4" s="143" t="s">
        <v>62</v>
      </c>
      <c r="J4" s="143"/>
      <c r="K4" s="143"/>
      <c r="L4" s="143"/>
      <c r="Q4" s="124" t="str">
        <f>IF(german,"Abschätzung des idealen gamma-Werts","Estimated value of ideal gamma")</f>
        <v>Abschätzung des idealen gamma-Werts</v>
      </c>
      <c r="AB4" s="9"/>
      <c r="AC4" s="9"/>
      <c r="AD4" s="9"/>
      <c r="AE4" s="9"/>
      <c r="AF4" s="9"/>
      <c r="AG4" s="9"/>
    </row>
    <row r="5" spans="1:68" x14ac:dyDescent="0.2">
      <c r="A5" s="63" t="str">
        <f>IF(german,"Kipprhythmus, Temp.","agitation, temperature")</f>
        <v>Kipprhythmus, Temp.</v>
      </c>
      <c r="B5" s="100" t="s">
        <v>115</v>
      </c>
      <c r="C5" s="52" t="s">
        <v>115</v>
      </c>
      <c r="D5" s="106" t="s">
        <v>115</v>
      </c>
      <c r="E5" s="52" t="s">
        <v>115</v>
      </c>
      <c r="F5" s="52" t="s">
        <v>115</v>
      </c>
      <c r="G5" s="53" t="s">
        <v>115</v>
      </c>
      <c r="Q5" s="125" t="str">
        <f>IF(german,"Eingabe nur in grünen Zellen","data input in green cells only")</f>
        <v>Eingabe nur in grünen Zellen</v>
      </c>
      <c r="AB5" s="104" t="s">
        <v>87</v>
      </c>
      <c r="AD5" s="9"/>
      <c r="AE5" s="9"/>
      <c r="AF5" s="9"/>
      <c r="AG5" s="9"/>
      <c r="AI5" t="s">
        <v>0</v>
      </c>
      <c r="AQ5" s="11" t="s">
        <v>1</v>
      </c>
      <c r="AR5" s="11" t="s">
        <v>2</v>
      </c>
      <c r="AS5" s="11" t="s">
        <v>3</v>
      </c>
      <c r="AT5" s="9" t="s">
        <v>4</v>
      </c>
      <c r="AU5" s="9" t="s">
        <v>5</v>
      </c>
      <c r="AV5" s="9" t="s">
        <v>6</v>
      </c>
      <c r="AW5" s="9" t="s">
        <v>7</v>
      </c>
      <c r="AX5" s="9" t="s">
        <v>8</v>
      </c>
      <c r="AY5" s="9" t="s">
        <v>9</v>
      </c>
      <c r="AZ5" s="9" t="s">
        <v>10</v>
      </c>
    </row>
    <row r="6" spans="1:68" ht="13.5" thickBot="1" x14ac:dyDescent="0.25">
      <c r="A6" s="12" t="str">
        <f>IF(german,"Entw.-Zeit in mm:ss","dev. time in mm:ss")</f>
        <v>Entw.-Zeit in mm:ss</v>
      </c>
      <c r="B6" s="54" t="s">
        <v>116</v>
      </c>
      <c r="C6" s="55" t="s">
        <v>117</v>
      </c>
      <c r="D6" s="55" t="s">
        <v>118</v>
      </c>
      <c r="E6" s="55" t="s">
        <v>119</v>
      </c>
      <c r="F6" s="55" t="s">
        <v>120</v>
      </c>
      <c r="G6" s="56" t="s">
        <v>121</v>
      </c>
      <c r="I6" s="64" t="s">
        <v>107</v>
      </c>
      <c r="J6" s="65"/>
      <c r="K6" s="65"/>
      <c r="L6" s="65"/>
      <c r="M6" s="65"/>
      <c r="N6" s="65"/>
      <c r="O6" s="66"/>
      <c r="P6" s="68"/>
      <c r="Q6" s="126" t="str">
        <f>IF(german,"Motivkontrast in EV =","scene contrast EV =")</f>
        <v>Motivkontrast in EV =</v>
      </c>
      <c r="R6" s="127">
        <v>5.5</v>
      </c>
      <c r="S6" s="128" t="str">
        <f>IF(german,"durchschnittliches Motiv: 5,5-6 EV","average scene: 5.5-6 EV")</f>
        <v>durchschnittliches Motiv: 5,5-6 EV</v>
      </c>
      <c r="T6" s="68"/>
      <c r="U6" s="68"/>
      <c r="V6" s="68"/>
      <c r="W6" s="68"/>
      <c r="X6" s="68"/>
      <c r="Y6" s="68"/>
      <c r="Z6" s="68"/>
      <c r="AB6" t="s">
        <v>11</v>
      </c>
      <c r="AC6" t="s">
        <v>12</v>
      </c>
      <c r="AD6" t="s">
        <v>13</v>
      </c>
      <c r="AE6" t="s">
        <v>14</v>
      </c>
      <c r="AF6" t="s">
        <v>15</v>
      </c>
      <c r="AG6" t="s">
        <v>16</v>
      </c>
      <c r="AI6">
        <v>0.55000000000000004</v>
      </c>
      <c r="AJ6">
        <v>0.65</v>
      </c>
      <c r="AK6">
        <v>0.75</v>
      </c>
      <c r="AN6" s="9">
        <v>-9</v>
      </c>
      <c r="AO6" s="9">
        <v>-8</v>
      </c>
      <c r="AP6" s="9">
        <v>-7</v>
      </c>
      <c r="AQ6" s="9">
        <v>-6</v>
      </c>
      <c r="AR6" s="9">
        <v>-5</v>
      </c>
      <c r="AS6" s="9">
        <v>-4</v>
      </c>
      <c r="AT6" s="9">
        <v>-3</v>
      </c>
      <c r="AU6" s="9">
        <v>-2</v>
      </c>
      <c r="AV6" s="9">
        <v>-1</v>
      </c>
      <c r="AW6" s="9">
        <v>0</v>
      </c>
      <c r="AX6" s="9">
        <v>1</v>
      </c>
      <c r="AY6" s="9">
        <v>2</v>
      </c>
      <c r="AZ6" s="9">
        <v>3</v>
      </c>
      <c r="BA6" s="9">
        <v>4</v>
      </c>
      <c r="BB6" s="9">
        <v>5</v>
      </c>
      <c r="BC6" s="9">
        <v>6</v>
      </c>
      <c r="BF6" s="68"/>
      <c r="BG6" s="24" t="s">
        <v>63</v>
      </c>
      <c r="BH6" s="76" t="s">
        <v>64</v>
      </c>
    </row>
    <row r="7" spans="1:68" x14ac:dyDescent="0.2">
      <c r="A7" s="13" t="s">
        <v>17</v>
      </c>
      <c r="B7" s="14"/>
      <c r="C7" s="14"/>
      <c r="D7" s="14"/>
      <c r="E7" s="14"/>
      <c r="F7" s="14"/>
      <c r="G7" s="101"/>
      <c r="I7" s="122" t="str">
        <f>IF(german,"Zeitfaktor","time factor")</f>
        <v>Zeitfaktor</v>
      </c>
      <c r="J7" s="121" t="str">
        <f>IF(german,"Zeit in Min","time in min")</f>
        <v>Zeit in Min</v>
      </c>
      <c r="K7" s="121" t="s">
        <v>71</v>
      </c>
      <c r="L7" s="121" t="s">
        <v>123</v>
      </c>
      <c r="M7" s="68"/>
      <c r="N7" s="68"/>
      <c r="O7" s="69"/>
      <c r="P7" s="68"/>
      <c r="Q7" s="126" t="str">
        <f>IF(german,"mittl.","mean")&amp;" ISO range (R) ="</f>
        <v>mittl. ISO range (R) =</v>
      </c>
      <c r="R7" s="129">
        <v>90</v>
      </c>
      <c r="S7" s="130" t="str">
        <f>IF(german,"Beispiele siehe nachfolgende Tabelle","examples see following table")</f>
        <v>Beispiele siehe nachfolgende Tabelle</v>
      </c>
      <c r="T7" s="68"/>
      <c r="U7" s="68"/>
      <c r="V7" s="68"/>
      <c r="W7" s="68"/>
      <c r="X7" s="68"/>
      <c r="Y7" s="68"/>
      <c r="Z7" s="68"/>
      <c r="AB7" s="15">
        <f t="shared" ref="AB7:AG7" si="2">HLOOKUP(B$21,$AN$6:$BC$20,2)+IF(RIGHT(B$26,1)=".",100,0)</f>
        <v>-5</v>
      </c>
      <c r="AC7" s="15">
        <f t="shared" si="2"/>
        <v>-4.33</v>
      </c>
      <c r="AD7" s="15">
        <f t="shared" si="2"/>
        <v>-4.67</v>
      </c>
      <c r="AE7" s="15">
        <f t="shared" si="2"/>
        <v>-4.67</v>
      </c>
      <c r="AF7" s="15">
        <f t="shared" si="2"/>
        <v>-5</v>
      </c>
      <c r="AG7" s="15">
        <f t="shared" si="2"/>
        <v>-5.33</v>
      </c>
      <c r="AM7" s="9" t="s">
        <v>18</v>
      </c>
      <c r="AN7">
        <v>-8</v>
      </c>
      <c r="AO7">
        <v>-7.67</v>
      </c>
      <c r="AP7">
        <v>-7.33</v>
      </c>
      <c r="AQ7" s="9">
        <v>-7</v>
      </c>
      <c r="AR7" s="9">
        <v>-6.67</v>
      </c>
      <c r="AS7" s="9">
        <v>-6.33</v>
      </c>
      <c r="AT7" s="9">
        <v>-6</v>
      </c>
      <c r="AU7" s="9">
        <v>-5.67</v>
      </c>
      <c r="AV7" s="9">
        <v>-5.33</v>
      </c>
      <c r="AW7" s="9">
        <v>-5</v>
      </c>
      <c r="AX7" s="9">
        <v>-4.67</v>
      </c>
      <c r="AY7" s="9">
        <v>-4.33</v>
      </c>
      <c r="AZ7" s="9">
        <v>-4</v>
      </c>
      <c r="BA7">
        <v>-3.67</v>
      </c>
      <c r="BB7">
        <v>-3.33</v>
      </c>
      <c r="BC7">
        <v>-3</v>
      </c>
      <c r="BF7" s="68">
        <f>$J$31-INT($J$30)+11</f>
        <v>0</v>
      </c>
      <c r="BG7">
        <v>11</v>
      </c>
      <c r="BH7">
        <v>1</v>
      </c>
    </row>
    <row r="8" spans="1:68" x14ac:dyDescent="0.2">
      <c r="A8" s="16" t="s">
        <v>19</v>
      </c>
      <c r="B8" s="17">
        <v>0.1</v>
      </c>
      <c r="C8" s="17">
        <v>0.14000000000000001</v>
      </c>
      <c r="D8" s="17">
        <v>0.11</v>
      </c>
      <c r="E8" s="17">
        <v>0.1</v>
      </c>
      <c r="F8" s="17">
        <v>0.08</v>
      </c>
      <c r="G8" s="51">
        <v>0.03</v>
      </c>
      <c r="I8" s="123" t="s">
        <v>127</v>
      </c>
      <c r="J8" s="118">
        <f>AB27</f>
        <v>5.6166666666666671</v>
      </c>
      <c r="K8" s="118">
        <f ca="1">B23</f>
        <v>0.5083333333333333</v>
      </c>
      <c r="L8" s="118">
        <f>AB3</f>
        <v>100</v>
      </c>
      <c r="M8" s="68"/>
      <c r="N8" s="68" t="str">
        <f>IF(german,"(*)pushed bedeutet:","(*)pushed means:")</f>
        <v>(*)pushed bedeutet:</v>
      </c>
      <c r="O8" s="69"/>
      <c r="P8" s="68"/>
      <c r="Q8" s="126" t="str">
        <f>IF(german,"Zielwert gamma =","required gamma =")</f>
        <v>Zielwert gamma =</v>
      </c>
      <c r="R8" s="142">
        <f>(R7/100)/(R6*0.3)</f>
        <v>0.54545454545454553</v>
      </c>
      <c r="S8" s="128" t="str">
        <f>IF(german,"gemessen auf dem Grundbrett des Vergrößerers","measured on the base plate of the enlarger")</f>
        <v>gemessen auf dem Grundbrett des Vergrößerers</v>
      </c>
      <c r="T8" s="68"/>
      <c r="U8" s="68"/>
      <c r="V8" s="68"/>
      <c r="W8" s="68"/>
      <c r="X8" s="68"/>
      <c r="Y8" s="68"/>
      <c r="Z8" s="68"/>
      <c r="AB8" s="15">
        <f t="shared" ref="AB8:AG8" si="3">HLOOKUP(B$21,$AN$6:$BC$20,3)+IF(RIGHT(B$26,1)=".",100,0)</f>
        <v>-4</v>
      </c>
      <c r="AC8" s="15">
        <f t="shared" si="3"/>
        <v>-3.33</v>
      </c>
      <c r="AD8" s="15">
        <f t="shared" si="3"/>
        <v>-3.67</v>
      </c>
      <c r="AE8" s="15">
        <f t="shared" si="3"/>
        <v>-3.67</v>
      </c>
      <c r="AF8" s="15">
        <f t="shared" si="3"/>
        <v>-4</v>
      </c>
      <c r="AG8" s="15">
        <f t="shared" si="3"/>
        <v>-4.33</v>
      </c>
      <c r="AJ8">
        <v>0.1</v>
      </c>
      <c r="AM8" s="9" t="s">
        <v>20</v>
      </c>
      <c r="AN8">
        <v>-7</v>
      </c>
      <c r="AO8">
        <v>-6.67</v>
      </c>
      <c r="AP8">
        <v>-6.33</v>
      </c>
      <c r="AQ8" s="9">
        <v>-6</v>
      </c>
      <c r="AR8" s="9">
        <v>-5.67</v>
      </c>
      <c r="AS8" s="9">
        <v>-5.33</v>
      </c>
      <c r="AT8" s="9">
        <v>-5</v>
      </c>
      <c r="AU8" s="9">
        <v>-4.67</v>
      </c>
      <c r="AV8" s="9">
        <v>-4.33</v>
      </c>
      <c r="AW8" s="9">
        <v>-4</v>
      </c>
      <c r="AX8" s="9">
        <v>-3.67</v>
      </c>
      <c r="AY8" s="9">
        <v>-3.33</v>
      </c>
      <c r="AZ8" s="9">
        <v>-3</v>
      </c>
      <c r="BA8">
        <v>-2.67</v>
      </c>
      <c r="BB8">
        <v>-2.33</v>
      </c>
      <c r="BC8">
        <v>-2</v>
      </c>
      <c r="BF8" s="68"/>
      <c r="BG8">
        <v>10</v>
      </c>
      <c r="BH8" s="68">
        <v>2</v>
      </c>
    </row>
    <row r="9" spans="1:68" x14ac:dyDescent="0.2">
      <c r="A9" s="16" t="s">
        <v>56</v>
      </c>
      <c r="B9" s="17">
        <v>0.2</v>
      </c>
      <c r="C9" s="17">
        <v>0.27</v>
      </c>
      <c r="D9" s="17">
        <v>0.23</v>
      </c>
      <c r="E9" s="17">
        <v>0.25</v>
      </c>
      <c r="F9" s="17">
        <v>0.2</v>
      </c>
      <c r="G9" s="51">
        <v>0.12</v>
      </c>
      <c r="I9" s="123">
        <v>1</v>
      </c>
      <c r="J9" s="118">
        <f>AC27</f>
        <v>6.75</v>
      </c>
      <c r="K9" s="118">
        <f ca="1">C23</f>
        <v>0.56666666666666665</v>
      </c>
      <c r="L9" s="118">
        <f>AC3</f>
        <v>160</v>
      </c>
      <c r="M9" s="119"/>
      <c r="N9" s="68" t="str">
        <f>IF(german,"höherer Korrekturwert","increased correction")</f>
        <v>höherer Korrekturwert</v>
      </c>
      <c r="O9" s="69"/>
      <c r="P9" s="68"/>
      <c r="Q9" s="126" t="str">
        <f>IF(german,"Callier-Faktor =","Callier factor =")</f>
        <v>Callier-Faktor =</v>
      </c>
      <c r="R9" s="132">
        <v>1.05</v>
      </c>
      <c r="S9" s="128" t="str">
        <f>IF(german,"für IHREN Vergrößer, siehe Tabelle unten","for YOUR enlarger, see table below")</f>
        <v>für IHREN Vergrößer, siehe Tabelle unten</v>
      </c>
      <c r="T9" s="68"/>
      <c r="U9" s="68"/>
      <c r="V9" s="68"/>
      <c r="W9" s="68"/>
      <c r="X9" s="68"/>
      <c r="Y9" s="68"/>
      <c r="Z9" s="68"/>
      <c r="AB9" s="15">
        <f t="shared" ref="AB9:AG9" si="4">HLOOKUP(B$21,$AN$6:$BC$20,4)+IF(RIGHT(B$26,1)=".",100,0)</f>
        <v>-3</v>
      </c>
      <c r="AC9" s="15">
        <f t="shared" si="4"/>
        <v>-2.33</v>
      </c>
      <c r="AD9" s="15">
        <f t="shared" si="4"/>
        <v>-2.67</v>
      </c>
      <c r="AE9" s="15">
        <f t="shared" si="4"/>
        <v>-2.67</v>
      </c>
      <c r="AF9" s="15">
        <f t="shared" si="4"/>
        <v>-3</v>
      </c>
      <c r="AG9" s="15">
        <f t="shared" si="4"/>
        <v>-3.33</v>
      </c>
      <c r="AJ9">
        <v>0.2</v>
      </c>
      <c r="AM9" s="9" t="s">
        <v>21</v>
      </c>
      <c r="AN9">
        <v>-6</v>
      </c>
      <c r="AO9">
        <v>-5.67</v>
      </c>
      <c r="AP9">
        <v>-5.33</v>
      </c>
      <c r="AQ9" s="9">
        <v>-5</v>
      </c>
      <c r="AR9" s="9">
        <v>-4.67</v>
      </c>
      <c r="AS9" s="9">
        <v>-4.33</v>
      </c>
      <c r="AT9" s="9">
        <v>-4</v>
      </c>
      <c r="AU9" s="9">
        <v>-3.67</v>
      </c>
      <c r="AV9" s="9">
        <v>-3.33</v>
      </c>
      <c r="AW9" s="9">
        <v>-3</v>
      </c>
      <c r="AX9" s="9">
        <v>-2.67</v>
      </c>
      <c r="AY9" s="9">
        <v>-2.33</v>
      </c>
      <c r="AZ9" s="9">
        <v>-2</v>
      </c>
      <c r="BA9">
        <v>-1.67</v>
      </c>
      <c r="BB9">
        <v>-1.33</v>
      </c>
      <c r="BC9">
        <v>-1</v>
      </c>
      <c r="BF9" s="68"/>
      <c r="BG9">
        <v>9</v>
      </c>
      <c r="BH9" s="68">
        <v>4</v>
      </c>
    </row>
    <row r="10" spans="1:68" x14ac:dyDescent="0.2">
      <c r="A10" s="16" t="s">
        <v>57</v>
      </c>
      <c r="B10" s="17">
        <v>0.33</v>
      </c>
      <c r="C10" s="17">
        <v>0.43</v>
      </c>
      <c r="D10" s="17">
        <v>0.39</v>
      </c>
      <c r="E10" s="17">
        <v>0.45</v>
      </c>
      <c r="F10" s="17">
        <v>0.41</v>
      </c>
      <c r="G10" s="51">
        <v>0.35</v>
      </c>
      <c r="I10" s="123" t="s">
        <v>137</v>
      </c>
      <c r="J10" s="118">
        <f>AD27</f>
        <v>8.1</v>
      </c>
      <c r="K10" s="118">
        <f ca="1">D23</f>
        <v>0.625</v>
      </c>
      <c r="L10" s="118">
        <f>AD3</f>
        <v>160</v>
      </c>
      <c r="M10" s="119"/>
      <c r="N10" s="68" t="str">
        <f>IF(german,"in Zellen E21…G21","in cells E21…G21")</f>
        <v>in Zellen E21…G21</v>
      </c>
      <c r="O10" s="69"/>
      <c r="P10" s="68"/>
      <c r="Q10" s="126" t="str">
        <f>IF(german,"gewünschtes gamma =","target value gamma =")</f>
        <v>gewünschtes gamma =</v>
      </c>
      <c r="R10" s="131">
        <f>R8/R9</f>
        <v>0.51948051948051954</v>
      </c>
      <c r="S10" s="128" t="str">
        <f>IF(german,"gemessen mit Transmissionsdensitometer","measured with transmission densitometer")</f>
        <v>gemessen mit Transmissionsdensitometer</v>
      </c>
      <c r="T10" s="68"/>
      <c r="U10" s="68"/>
      <c r="V10" s="68"/>
      <c r="W10" s="68"/>
      <c r="X10" s="68"/>
      <c r="Y10" s="68"/>
      <c r="Z10" s="68"/>
      <c r="AB10" s="15">
        <f t="shared" ref="AB10:AG10" si="5">HLOOKUP(B$21,$AN$6:$BC$20,5)+IF(RIGHT(B$26,1)=".",100,0)</f>
        <v>-2</v>
      </c>
      <c r="AC10" s="15">
        <f t="shared" si="5"/>
        <v>-1.33</v>
      </c>
      <c r="AD10" s="15">
        <f t="shared" si="5"/>
        <v>-1.67</v>
      </c>
      <c r="AE10" s="15">
        <f t="shared" si="5"/>
        <v>-1.67</v>
      </c>
      <c r="AF10" s="15">
        <f t="shared" si="5"/>
        <v>-2</v>
      </c>
      <c r="AG10" s="15">
        <f t="shared" si="5"/>
        <v>-2.33</v>
      </c>
      <c r="AI10">
        <f>AJ9+$AI$6*LOG10(2)</f>
        <v>0.36556649761518967</v>
      </c>
      <c r="AJ10">
        <f>AJ9+$AJ$6*LOG10(2)</f>
        <v>0.39566949718158784</v>
      </c>
      <c r="AK10">
        <f>AJ9+$AK$6*LOG10(2)</f>
        <v>0.4257724967479859</v>
      </c>
      <c r="AM10" s="9" t="s">
        <v>22</v>
      </c>
      <c r="AN10">
        <v>-5</v>
      </c>
      <c r="AO10">
        <v>-4.67</v>
      </c>
      <c r="AP10">
        <v>-4.33</v>
      </c>
      <c r="AQ10" s="9">
        <v>-4</v>
      </c>
      <c r="AR10" s="9">
        <v>-3.67</v>
      </c>
      <c r="AS10" s="9">
        <v>-3.33</v>
      </c>
      <c r="AT10" s="9">
        <v>-3</v>
      </c>
      <c r="AU10" s="9">
        <v>-2.67</v>
      </c>
      <c r="AV10" s="9">
        <v>-2.33</v>
      </c>
      <c r="AW10" s="9">
        <v>-2</v>
      </c>
      <c r="AX10" s="9">
        <v>-1.67</v>
      </c>
      <c r="AY10" s="9">
        <v>-1.33</v>
      </c>
      <c r="AZ10" s="9">
        <v>-1</v>
      </c>
      <c r="BA10">
        <v>-0.66999999999999993</v>
      </c>
      <c r="BB10">
        <v>-0.33000000000000007</v>
      </c>
      <c r="BC10">
        <v>0</v>
      </c>
      <c r="BF10" s="68"/>
      <c r="BG10">
        <v>8</v>
      </c>
      <c r="BH10" s="68">
        <v>8</v>
      </c>
    </row>
    <row r="11" spans="1:68" x14ac:dyDescent="0.2">
      <c r="A11" s="16" t="s">
        <v>58</v>
      </c>
      <c r="B11" s="17">
        <f>0.5*(B12+B10)</f>
        <v>0.47499999999999998</v>
      </c>
      <c r="C11" s="17">
        <v>0.6</v>
      </c>
      <c r="D11" s="17">
        <f>0.5*(D10+D12)</f>
        <v>0.57499999999999996</v>
      </c>
      <c r="E11" s="17">
        <f>0.5*(E10+E12)</f>
        <v>0.65</v>
      </c>
      <c r="F11" s="17">
        <f t="shared" ref="F11:G13" si="6">0.5*(F12+F10)</f>
        <v>0.64500000000000002</v>
      </c>
      <c r="G11" s="51">
        <f t="shared" si="6"/>
        <v>0.625</v>
      </c>
      <c r="I11" s="123" t="s">
        <v>137</v>
      </c>
      <c r="J11" s="118">
        <f>AE27</f>
        <v>9.7166666666666668</v>
      </c>
      <c r="K11" s="118">
        <f ca="1">E23</f>
        <v>0.67499999999999993</v>
      </c>
      <c r="L11" s="118">
        <f>AE3</f>
        <v>200</v>
      </c>
      <c r="M11" s="119"/>
      <c r="N11" s="68" t="str">
        <f>IF(german,"ergibt höheres ISO","results in higher ISO")</f>
        <v>ergibt höheres ISO</v>
      </c>
      <c r="O11" s="69"/>
      <c r="P11" s="68"/>
      <c r="Q11" s="128"/>
      <c r="R11" s="128"/>
      <c r="S11" s="128"/>
      <c r="T11" s="68"/>
      <c r="U11" s="68"/>
      <c r="V11" s="68"/>
      <c r="W11" s="68"/>
      <c r="X11" s="68"/>
      <c r="Y11" s="68"/>
      <c r="Z11" s="68"/>
      <c r="AB11" s="15">
        <f t="shared" ref="AB11:AG11" si="7">HLOOKUP(B$21,$AN$6:$BC$20,6)+IF(RIGHT(B$26,1)=".",100,0)</f>
        <v>-1</v>
      </c>
      <c r="AC11" s="15">
        <f t="shared" si="7"/>
        <v>-0.33</v>
      </c>
      <c r="AD11" s="15">
        <f t="shared" si="7"/>
        <v>-0.67</v>
      </c>
      <c r="AE11" s="15">
        <f t="shared" si="7"/>
        <v>-0.67</v>
      </c>
      <c r="AF11" s="15">
        <f t="shared" si="7"/>
        <v>-1</v>
      </c>
      <c r="AG11" s="15">
        <f t="shared" si="7"/>
        <v>-1.33</v>
      </c>
      <c r="AI11">
        <f>AI10+$AI$6*LOG10(2)</f>
        <v>0.53113299523037938</v>
      </c>
      <c r="AJ11">
        <f t="shared" ref="AJ11:AJ19" si="8">AJ10+$AJ$6*LOG10(2)</f>
        <v>0.59133899436317561</v>
      </c>
      <c r="AK11">
        <f>AK10+$AK$6*LOG10(2)</f>
        <v>0.65154499349597184</v>
      </c>
      <c r="AM11" s="9" t="s">
        <v>23</v>
      </c>
      <c r="AN11">
        <v>-4</v>
      </c>
      <c r="AO11">
        <v>-3.67</v>
      </c>
      <c r="AP11">
        <v>-3.33</v>
      </c>
      <c r="AQ11" s="9">
        <v>-3</v>
      </c>
      <c r="AR11" s="9">
        <v>-2.67</v>
      </c>
      <c r="AS11" s="9">
        <v>-2.33</v>
      </c>
      <c r="AT11" s="9">
        <v>-2</v>
      </c>
      <c r="AU11" s="9">
        <v>-1.67</v>
      </c>
      <c r="AV11" s="9">
        <v>-1.33</v>
      </c>
      <c r="AW11" s="9">
        <v>-1</v>
      </c>
      <c r="AX11" s="9">
        <v>-0.67</v>
      </c>
      <c r="AY11" s="9">
        <v>-0.33</v>
      </c>
      <c r="AZ11" s="9">
        <v>0</v>
      </c>
      <c r="BA11">
        <v>0.32999999999999996</v>
      </c>
      <c r="BB11">
        <v>0.66999999999999993</v>
      </c>
      <c r="BC11">
        <v>1</v>
      </c>
      <c r="BF11" s="68"/>
      <c r="BG11">
        <v>7</v>
      </c>
      <c r="BH11" s="68">
        <v>15</v>
      </c>
    </row>
    <row r="12" spans="1:68" x14ac:dyDescent="0.2">
      <c r="A12" s="46" t="s">
        <v>24</v>
      </c>
      <c r="B12" s="47">
        <v>0.62</v>
      </c>
      <c r="C12" s="47">
        <v>0.77</v>
      </c>
      <c r="D12" s="47">
        <v>0.76</v>
      </c>
      <c r="E12" s="47">
        <v>0.85</v>
      </c>
      <c r="F12" s="47">
        <v>0.88</v>
      </c>
      <c r="G12" s="102">
        <v>0.9</v>
      </c>
      <c r="I12" s="123" t="s">
        <v>137</v>
      </c>
      <c r="J12" s="118">
        <f>AF27</f>
        <v>11.666666666666666</v>
      </c>
      <c r="K12" s="118">
        <f ca="1">F23</f>
        <v>0.76666666666666672</v>
      </c>
      <c r="L12" s="118">
        <f>AF3</f>
        <v>200</v>
      </c>
      <c r="M12" s="119"/>
      <c r="N12" s="68" t="str">
        <f>IF(german,"für Dichte ""Zone V"" ≈ 0,7","for densitiy ""Zone V"" ≈ 0.7")</f>
        <v>für Dichte "Zone V" ≈ 0,7</v>
      </c>
      <c r="O12" s="69"/>
      <c r="P12" s="68"/>
      <c r="Q12" s="133" t="str">
        <f>IF(german,"Papier","paper")</f>
        <v>Papier</v>
      </c>
      <c r="R12" s="134" t="str">
        <f>IF(german,"ISO range (R) für Gradation 2","ISO range (R) for grade 2")</f>
        <v>ISO range (R) für Gradation 2</v>
      </c>
      <c r="S12" s="135"/>
      <c r="T12" s="68"/>
      <c r="U12" s="68"/>
      <c r="V12" s="68"/>
      <c r="W12" s="68"/>
      <c r="X12" s="68"/>
      <c r="Y12" s="68"/>
      <c r="Z12" s="68"/>
      <c r="AB12" s="91">
        <f t="shared" ref="AB12:AG12" si="9">HLOOKUP(B$21,$AN$6:$BC$20,7)+IF(RIGHT(B$26,1)=".",100,0)</f>
        <v>0</v>
      </c>
      <c r="AC12" s="91">
        <f t="shared" si="9"/>
        <v>0.67</v>
      </c>
      <c r="AD12" s="91">
        <f t="shared" si="9"/>
        <v>0.33</v>
      </c>
      <c r="AE12" s="91">
        <f t="shared" si="9"/>
        <v>0.33</v>
      </c>
      <c r="AF12" s="91">
        <f t="shared" si="9"/>
        <v>0</v>
      </c>
      <c r="AG12" s="91">
        <f t="shared" si="9"/>
        <v>-0.33</v>
      </c>
      <c r="AI12" s="99">
        <f t="shared" ref="AI12:AI19" si="10">AI11+$AI$6*LOG10(2)</f>
        <v>0.69669949284556909</v>
      </c>
      <c r="AJ12" s="99">
        <f t="shared" si="8"/>
        <v>0.78700849154476338</v>
      </c>
      <c r="AK12" s="99">
        <f t="shared" ref="AK12:AK19" si="11">AK11+$AK$6*LOG10(2)</f>
        <v>0.87731749024395778</v>
      </c>
      <c r="AM12" s="93" t="s">
        <v>25</v>
      </c>
      <c r="AN12" s="92">
        <v>-3</v>
      </c>
      <c r="AO12" s="92">
        <v>-2.67</v>
      </c>
      <c r="AP12" s="92">
        <v>-2.33</v>
      </c>
      <c r="AQ12" s="93">
        <v>-2</v>
      </c>
      <c r="AR12" s="93">
        <v>-1.67</v>
      </c>
      <c r="AS12" s="93">
        <v>-1.33</v>
      </c>
      <c r="AT12" s="93">
        <v>-1</v>
      </c>
      <c r="AU12" s="93">
        <v>-0.67</v>
      </c>
      <c r="AV12" s="93">
        <v>-0.33</v>
      </c>
      <c r="AW12" s="93">
        <v>0</v>
      </c>
      <c r="AX12" s="93">
        <v>0.33</v>
      </c>
      <c r="AY12" s="93">
        <v>0.67</v>
      </c>
      <c r="AZ12" s="93">
        <v>1</v>
      </c>
      <c r="BA12" s="92">
        <v>1.33</v>
      </c>
      <c r="BB12" s="92">
        <v>1.67</v>
      </c>
      <c r="BC12" s="92">
        <v>2</v>
      </c>
      <c r="BG12">
        <v>6</v>
      </c>
      <c r="BH12" s="68">
        <v>30</v>
      </c>
    </row>
    <row r="13" spans="1:68" x14ac:dyDescent="0.2">
      <c r="A13" s="16" t="s">
        <v>26</v>
      </c>
      <c r="B13" s="17">
        <f>0.5*(B14+B12)</f>
        <v>0.78</v>
      </c>
      <c r="C13" s="17">
        <v>0.94</v>
      </c>
      <c r="D13" s="17">
        <f>0.5*(D12+D14)</f>
        <v>0.95</v>
      </c>
      <c r="E13" s="17">
        <f>0.5*(E12+E14)</f>
        <v>1.0549999999999999</v>
      </c>
      <c r="F13" s="17">
        <f t="shared" ref="F13" si="12">0.5*(F14+F12)</f>
        <v>1.105</v>
      </c>
      <c r="G13" s="51">
        <f t="shared" si="6"/>
        <v>1.17</v>
      </c>
      <c r="I13" s="123" t="s">
        <v>138</v>
      </c>
      <c r="J13" s="120">
        <f>AG27</f>
        <v>16.783333333333335</v>
      </c>
      <c r="K13" s="120">
        <f ca="1">G23</f>
        <v>0.90833333333333321</v>
      </c>
      <c r="L13" s="120">
        <f>AG3</f>
        <v>250</v>
      </c>
      <c r="M13" s="119"/>
      <c r="O13" s="69"/>
      <c r="P13" s="68"/>
      <c r="Q13" s="136" t="s">
        <v>130</v>
      </c>
      <c r="R13" s="137">
        <v>110</v>
      </c>
      <c r="S13" s="138"/>
      <c r="T13" s="68"/>
      <c r="U13" s="68"/>
      <c r="V13" s="68"/>
      <c r="W13" s="68"/>
      <c r="X13" s="68"/>
      <c r="Y13" s="68"/>
      <c r="Z13" s="68"/>
      <c r="AB13" s="15">
        <f t="shared" ref="AB13:AG13" si="13">HLOOKUP(B$21,$AN$6:$BC$20,8)+IF(RIGHT(B$26,1)=".",100,0)</f>
        <v>1</v>
      </c>
      <c r="AC13" s="15">
        <f t="shared" si="13"/>
        <v>1.67</v>
      </c>
      <c r="AD13" s="15">
        <f t="shared" si="13"/>
        <v>1.33</v>
      </c>
      <c r="AE13" s="15">
        <f t="shared" si="13"/>
        <v>1.33</v>
      </c>
      <c r="AF13" s="15">
        <f t="shared" si="13"/>
        <v>1</v>
      </c>
      <c r="AG13" s="15">
        <f t="shared" si="13"/>
        <v>0.67</v>
      </c>
      <c r="AI13">
        <f t="shared" si="10"/>
        <v>0.8622659904607588</v>
      </c>
      <c r="AJ13">
        <f t="shared" si="8"/>
        <v>0.98267798872635115</v>
      </c>
      <c r="AK13">
        <f t="shared" si="11"/>
        <v>1.1030899869919437</v>
      </c>
      <c r="AM13" s="9" t="s">
        <v>27</v>
      </c>
      <c r="AN13">
        <v>-2</v>
      </c>
      <c r="AO13">
        <v>-1.67</v>
      </c>
      <c r="AP13">
        <v>-1.33</v>
      </c>
      <c r="AQ13" s="9">
        <v>-1</v>
      </c>
      <c r="AR13" s="9">
        <v>-0.67</v>
      </c>
      <c r="AS13" s="9">
        <v>-0.33</v>
      </c>
      <c r="AT13" s="9">
        <v>0</v>
      </c>
      <c r="AU13" s="9">
        <v>0.33</v>
      </c>
      <c r="AV13" s="9">
        <v>0.67</v>
      </c>
      <c r="AW13" s="9">
        <v>1</v>
      </c>
      <c r="AX13" s="9">
        <v>1.33</v>
      </c>
      <c r="AY13" s="9">
        <v>1.67</v>
      </c>
      <c r="AZ13" s="9">
        <v>2</v>
      </c>
      <c r="BA13">
        <v>2.33</v>
      </c>
      <c r="BB13">
        <v>2.67</v>
      </c>
      <c r="BC13">
        <v>3</v>
      </c>
      <c r="BF13" s="68"/>
      <c r="BG13">
        <v>5</v>
      </c>
      <c r="BH13" s="68">
        <v>60</v>
      </c>
    </row>
    <row r="14" spans="1:68" x14ac:dyDescent="0.2">
      <c r="A14" s="16" t="s">
        <v>28</v>
      </c>
      <c r="B14" s="17">
        <v>0.94</v>
      </c>
      <c r="C14" s="17">
        <v>1.1200000000000001</v>
      </c>
      <c r="D14" s="17">
        <v>1.1399999999999999</v>
      </c>
      <c r="E14" s="17">
        <v>1.26</v>
      </c>
      <c r="F14" s="17">
        <v>1.33</v>
      </c>
      <c r="G14" s="51">
        <v>1.44</v>
      </c>
      <c r="I14" s="70"/>
      <c r="M14" s="119"/>
      <c r="O14" s="69"/>
      <c r="P14" s="68"/>
      <c r="Q14" s="136" t="s">
        <v>131</v>
      </c>
      <c r="R14" s="137">
        <v>90</v>
      </c>
      <c r="S14" s="138"/>
      <c r="T14" s="68"/>
      <c r="U14" s="68"/>
      <c r="V14" s="68"/>
      <c r="W14" s="68"/>
      <c r="X14" s="68"/>
      <c r="Y14" s="68"/>
      <c r="Z14" s="68"/>
      <c r="AB14" s="15">
        <f t="shared" ref="AB14:AG14" si="14">HLOOKUP(B$21,$AN$6:$BC$20,9)+IF(RIGHT(B$26,1)=".",100,0)</f>
        <v>2</v>
      </c>
      <c r="AC14" s="15">
        <f t="shared" si="14"/>
        <v>2.67</v>
      </c>
      <c r="AD14" s="15">
        <f t="shared" si="14"/>
        <v>2.33</v>
      </c>
      <c r="AE14" s="15">
        <f t="shared" si="14"/>
        <v>2.33</v>
      </c>
      <c r="AF14" s="15">
        <f t="shared" si="14"/>
        <v>2</v>
      </c>
      <c r="AG14" s="15">
        <f t="shared" si="14"/>
        <v>1.67</v>
      </c>
      <c r="AI14">
        <f t="shared" si="10"/>
        <v>1.0278324880759484</v>
      </c>
      <c r="AJ14">
        <f t="shared" si="8"/>
        <v>1.178347485907939</v>
      </c>
      <c r="AK14">
        <f t="shared" si="11"/>
        <v>1.3288624837399297</v>
      </c>
      <c r="AM14" s="9" t="s">
        <v>29</v>
      </c>
      <c r="AN14">
        <v>-1</v>
      </c>
      <c r="AO14">
        <v>-0.66999999999999993</v>
      </c>
      <c r="AP14">
        <v>-0.32999999999999996</v>
      </c>
      <c r="AQ14" s="9">
        <v>0</v>
      </c>
      <c r="AR14" s="9">
        <v>0.33</v>
      </c>
      <c r="AS14" s="9">
        <v>0.67</v>
      </c>
      <c r="AT14" s="9">
        <v>1</v>
      </c>
      <c r="AU14" s="9">
        <v>1.33</v>
      </c>
      <c r="AV14" s="9">
        <v>1.67</v>
      </c>
      <c r="AW14" s="9">
        <v>2</v>
      </c>
      <c r="AX14" s="9">
        <v>2.33</v>
      </c>
      <c r="AY14" s="9">
        <v>2.67</v>
      </c>
      <c r="AZ14" s="9">
        <v>3</v>
      </c>
      <c r="BA14">
        <v>3.33</v>
      </c>
      <c r="BB14">
        <v>3.67</v>
      </c>
      <c r="BC14">
        <v>4</v>
      </c>
      <c r="BF14" s="68"/>
      <c r="BG14">
        <v>4</v>
      </c>
      <c r="BH14" s="68">
        <v>125</v>
      </c>
    </row>
    <row r="15" spans="1:68" x14ac:dyDescent="0.2">
      <c r="A15" s="16" t="s">
        <v>30</v>
      </c>
      <c r="B15" s="17">
        <v>1.1000000000000001</v>
      </c>
      <c r="C15" s="17">
        <v>1.3</v>
      </c>
      <c r="D15" s="17">
        <v>1.34</v>
      </c>
      <c r="E15" s="17">
        <v>1.47</v>
      </c>
      <c r="F15" s="17">
        <v>1.56</v>
      </c>
      <c r="G15" s="51">
        <v>1.68</v>
      </c>
      <c r="I15" s="67"/>
      <c r="M15" s="119"/>
      <c r="O15" s="69"/>
      <c r="P15" s="68"/>
      <c r="Q15" s="136" t="s">
        <v>132</v>
      </c>
      <c r="R15" s="137">
        <v>90</v>
      </c>
      <c r="S15" s="138"/>
      <c r="T15" s="68"/>
      <c r="U15" s="68"/>
      <c r="V15" s="68"/>
      <c r="W15" s="68"/>
      <c r="X15" s="68"/>
      <c r="Y15" s="68"/>
      <c r="Z15" s="68"/>
      <c r="AB15" s="15">
        <f t="shared" ref="AB15:AG15" si="15">HLOOKUP(B$21,$AN$6:$BC$20,10)+IF(RIGHT(B$26,1)=".",100,0)</f>
        <v>3</v>
      </c>
      <c r="AC15" s="15">
        <f t="shared" si="15"/>
        <v>3.67</v>
      </c>
      <c r="AD15" s="15">
        <f t="shared" si="15"/>
        <v>3.33</v>
      </c>
      <c r="AE15" s="15">
        <f t="shared" si="15"/>
        <v>3.33</v>
      </c>
      <c r="AF15" s="15">
        <f t="shared" si="15"/>
        <v>3</v>
      </c>
      <c r="AG15" s="15">
        <f t="shared" si="15"/>
        <v>2.67</v>
      </c>
      <c r="AI15">
        <f t="shared" si="10"/>
        <v>1.193398985691138</v>
      </c>
      <c r="AJ15">
        <f t="shared" si="8"/>
        <v>1.3740169830895268</v>
      </c>
      <c r="AK15">
        <f t="shared" si="11"/>
        <v>1.5546349804879156</v>
      </c>
      <c r="AM15" s="9" t="s">
        <v>31</v>
      </c>
      <c r="AN15">
        <v>0</v>
      </c>
      <c r="AO15">
        <v>0.33000000000000007</v>
      </c>
      <c r="AP15">
        <v>0.66999999999999993</v>
      </c>
      <c r="AQ15" s="9">
        <v>1</v>
      </c>
      <c r="AR15" s="9">
        <v>1.33</v>
      </c>
      <c r="AS15" s="9">
        <v>1.67</v>
      </c>
      <c r="AT15" s="9">
        <v>2</v>
      </c>
      <c r="AU15" s="9">
        <v>2.33</v>
      </c>
      <c r="AV15" s="9">
        <v>2.67</v>
      </c>
      <c r="AW15" s="9">
        <v>3</v>
      </c>
      <c r="AX15" s="9">
        <v>3.33</v>
      </c>
      <c r="AY15" s="9">
        <v>3.67</v>
      </c>
      <c r="AZ15" s="9">
        <v>4</v>
      </c>
      <c r="BA15">
        <v>4.33</v>
      </c>
      <c r="BB15">
        <v>4.67</v>
      </c>
      <c r="BC15">
        <v>5</v>
      </c>
      <c r="BF15" s="68"/>
      <c r="BG15">
        <v>3</v>
      </c>
      <c r="BH15" s="68">
        <v>250</v>
      </c>
    </row>
    <row r="16" spans="1:68" x14ac:dyDescent="0.2">
      <c r="A16" s="16" t="s">
        <v>32</v>
      </c>
      <c r="B16" s="17">
        <v>1.27</v>
      </c>
      <c r="C16" s="17">
        <v>1.49</v>
      </c>
      <c r="D16" s="17">
        <v>1.54</v>
      </c>
      <c r="E16" s="17">
        <v>1.68</v>
      </c>
      <c r="F16" s="17">
        <v>1.79</v>
      </c>
      <c r="G16" s="51">
        <v>1.92</v>
      </c>
      <c r="I16" s="67"/>
      <c r="M16" s="119"/>
      <c r="N16" s="68"/>
      <c r="O16" s="69"/>
      <c r="P16" s="68"/>
      <c r="Q16" s="136" t="s">
        <v>133</v>
      </c>
      <c r="R16" s="137">
        <v>110</v>
      </c>
      <c r="S16" s="138"/>
      <c r="T16" s="68"/>
      <c r="U16" s="68"/>
      <c r="V16" s="68"/>
      <c r="W16" s="68"/>
      <c r="X16" s="68"/>
      <c r="Y16" s="68"/>
      <c r="Z16" s="68"/>
      <c r="AB16" s="15">
        <f t="shared" ref="AB16:AG16" si="16">HLOOKUP(B$21,$AN$6:$BC$20,11)+IF(RIGHT(B$26,1)=".",100,0)</f>
        <v>4</v>
      </c>
      <c r="AC16" s="15">
        <f t="shared" si="16"/>
        <v>4.67</v>
      </c>
      <c r="AD16" s="15">
        <f t="shared" si="16"/>
        <v>4.33</v>
      </c>
      <c r="AE16" s="15">
        <f t="shared" si="16"/>
        <v>4.33</v>
      </c>
      <c r="AF16" s="15">
        <f t="shared" si="16"/>
        <v>4</v>
      </c>
      <c r="AG16" s="15">
        <f t="shared" si="16"/>
        <v>3.67</v>
      </c>
      <c r="AI16">
        <f t="shared" si="10"/>
        <v>1.3589654833063276</v>
      </c>
      <c r="AJ16">
        <f t="shared" si="8"/>
        <v>1.5696864802711146</v>
      </c>
      <c r="AK16">
        <f t="shared" si="11"/>
        <v>1.7804074772359015</v>
      </c>
      <c r="AM16" s="9" t="s">
        <v>33</v>
      </c>
      <c r="AN16">
        <v>1</v>
      </c>
      <c r="AO16">
        <v>1.33</v>
      </c>
      <c r="AP16">
        <v>1.67</v>
      </c>
      <c r="AQ16" s="9">
        <v>2</v>
      </c>
      <c r="AR16" s="9">
        <v>2.33</v>
      </c>
      <c r="AS16" s="9">
        <v>2.67</v>
      </c>
      <c r="AT16" s="9">
        <v>3</v>
      </c>
      <c r="AU16" s="9">
        <v>3.33</v>
      </c>
      <c r="AV16" s="9">
        <v>3.67</v>
      </c>
      <c r="AW16" s="9">
        <v>4</v>
      </c>
      <c r="AX16" s="9">
        <v>4.33</v>
      </c>
      <c r="AY16" s="9">
        <v>4.67</v>
      </c>
      <c r="AZ16" s="9">
        <v>5</v>
      </c>
      <c r="BA16">
        <v>5.33</v>
      </c>
      <c r="BB16">
        <v>5.67</v>
      </c>
      <c r="BC16">
        <v>6</v>
      </c>
      <c r="BF16" s="68"/>
      <c r="BG16">
        <v>2</v>
      </c>
      <c r="BH16" s="68">
        <v>500</v>
      </c>
    </row>
    <row r="17" spans="1:60" x14ac:dyDescent="0.2">
      <c r="A17" s="16" t="s">
        <v>59</v>
      </c>
      <c r="B17" s="17">
        <v>1.43</v>
      </c>
      <c r="C17" s="17"/>
      <c r="D17" s="17">
        <v>1.73</v>
      </c>
      <c r="E17" s="17">
        <v>1.89</v>
      </c>
      <c r="F17" s="17">
        <v>2.02</v>
      </c>
      <c r="G17" s="51">
        <v>2.16</v>
      </c>
      <c r="I17" s="67"/>
      <c r="J17" s="119"/>
      <c r="K17" s="119"/>
      <c r="L17" s="119"/>
      <c r="M17" s="119"/>
      <c r="N17" s="68"/>
      <c r="O17" s="69"/>
      <c r="P17" s="68"/>
      <c r="Q17" s="139" t="s">
        <v>134</v>
      </c>
      <c r="R17" s="140">
        <v>95</v>
      </c>
      <c r="S17" s="135"/>
      <c r="T17" s="68"/>
      <c r="U17" s="68"/>
      <c r="V17" s="68"/>
      <c r="W17" s="68"/>
      <c r="X17" s="68"/>
      <c r="Y17" s="68"/>
      <c r="Z17" s="68"/>
      <c r="AB17" s="15">
        <f t="shared" ref="AB17:AG17" si="17">HLOOKUP(B$21,$AN$6:$BC$20,12)+IF(RIGHT(B$26,1)=".",100,0)</f>
        <v>5</v>
      </c>
      <c r="AC17" s="15">
        <f t="shared" si="17"/>
        <v>5.67</v>
      </c>
      <c r="AD17" s="15">
        <f t="shared" si="17"/>
        <v>5.33</v>
      </c>
      <c r="AE17" s="15">
        <f t="shared" si="17"/>
        <v>5.33</v>
      </c>
      <c r="AF17" s="15">
        <f t="shared" si="17"/>
        <v>5</v>
      </c>
      <c r="AG17" s="15">
        <f t="shared" si="17"/>
        <v>4.67</v>
      </c>
      <c r="AI17">
        <f t="shared" si="10"/>
        <v>1.5245319809215172</v>
      </c>
      <c r="AJ17">
        <f t="shared" si="8"/>
        <v>1.7653559774527023</v>
      </c>
      <c r="AK17">
        <f t="shared" si="11"/>
        <v>2.0061799739838873</v>
      </c>
      <c r="AM17" s="9" t="s">
        <v>34</v>
      </c>
      <c r="AN17">
        <v>2</v>
      </c>
      <c r="AO17">
        <v>2.33</v>
      </c>
      <c r="AP17">
        <v>2.67</v>
      </c>
      <c r="AQ17" s="9">
        <v>3</v>
      </c>
      <c r="AR17" s="9">
        <v>3.33</v>
      </c>
      <c r="AS17" s="9">
        <v>3.67</v>
      </c>
      <c r="AT17" s="9">
        <v>4</v>
      </c>
      <c r="AU17" s="9">
        <v>4.33</v>
      </c>
      <c r="AV17" s="9">
        <v>4.67</v>
      </c>
      <c r="AW17" s="9">
        <v>5</v>
      </c>
      <c r="AX17" s="9">
        <v>5.33</v>
      </c>
      <c r="AY17" s="9">
        <v>5.67</v>
      </c>
      <c r="AZ17" s="9">
        <v>6</v>
      </c>
      <c r="BA17">
        <v>6.33</v>
      </c>
      <c r="BB17">
        <v>6.67</v>
      </c>
      <c r="BC17">
        <v>7</v>
      </c>
      <c r="BF17" s="68"/>
      <c r="BG17">
        <v>1</v>
      </c>
      <c r="BH17" s="68">
        <v>1000</v>
      </c>
    </row>
    <row r="18" spans="1:60" x14ac:dyDescent="0.2">
      <c r="A18" s="18" t="s">
        <v>35</v>
      </c>
      <c r="B18" s="17">
        <v>1.58</v>
      </c>
      <c r="C18" s="17"/>
      <c r="D18" s="17">
        <v>1.91</v>
      </c>
      <c r="E18" s="17">
        <v>2.09</v>
      </c>
      <c r="F18" s="17"/>
      <c r="G18" s="51">
        <v>2.39</v>
      </c>
      <c r="I18" s="67"/>
      <c r="J18" s="119"/>
      <c r="K18" s="119"/>
      <c r="L18" s="119"/>
      <c r="M18" s="119"/>
      <c r="N18" s="68"/>
      <c r="O18" s="69"/>
      <c r="P18" s="68"/>
      <c r="Q18" s="138"/>
      <c r="R18" s="138"/>
      <c r="S18" s="138"/>
      <c r="T18" s="68"/>
      <c r="U18" s="68"/>
      <c r="V18" s="68"/>
      <c r="W18" s="68"/>
      <c r="X18" s="68"/>
      <c r="Y18" s="68"/>
      <c r="Z18" s="68"/>
      <c r="AB18" s="15">
        <f t="shared" ref="AB18:AG18" si="18">HLOOKUP(B$21,$AN$6:$BC$20,13)+IF(RIGHT(B$26,1)=".",100,0)</f>
        <v>6</v>
      </c>
      <c r="AC18" s="15">
        <f t="shared" si="18"/>
        <v>6.67</v>
      </c>
      <c r="AD18" s="15">
        <f t="shared" si="18"/>
        <v>6.33</v>
      </c>
      <c r="AE18" s="15">
        <f t="shared" si="18"/>
        <v>6.33</v>
      </c>
      <c r="AF18" s="15">
        <f t="shared" si="18"/>
        <v>6</v>
      </c>
      <c r="AG18" s="15">
        <f t="shared" si="18"/>
        <v>5.67</v>
      </c>
      <c r="AI18">
        <f t="shared" si="10"/>
        <v>1.6900984785367068</v>
      </c>
      <c r="AJ18">
        <f t="shared" si="8"/>
        <v>1.9610254746342901</v>
      </c>
      <c r="AK18">
        <f t="shared" si="11"/>
        <v>2.2319524707318732</v>
      </c>
      <c r="AN18">
        <v>3</v>
      </c>
      <c r="AO18">
        <v>3.33</v>
      </c>
      <c r="AP18">
        <v>3.67</v>
      </c>
      <c r="AQ18" s="9">
        <v>4</v>
      </c>
      <c r="AR18" s="9">
        <v>4.33</v>
      </c>
      <c r="AS18" s="9">
        <v>4.67</v>
      </c>
      <c r="AT18" s="9">
        <v>5</v>
      </c>
      <c r="AU18" s="9">
        <v>5.33</v>
      </c>
      <c r="AV18" s="9">
        <v>5.67</v>
      </c>
      <c r="AW18" s="9">
        <v>6</v>
      </c>
      <c r="AX18" s="9">
        <v>6.33</v>
      </c>
      <c r="AY18" s="9">
        <v>6.67</v>
      </c>
      <c r="AZ18" s="9">
        <v>7</v>
      </c>
      <c r="BA18">
        <v>7.33</v>
      </c>
      <c r="BB18">
        <v>7.67</v>
      </c>
      <c r="BC18">
        <v>8</v>
      </c>
      <c r="BF18" s="71"/>
      <c r="BG18">
        <v>0</v>
      </c>
      <c r="BH18" s="68">
        <v>2000</v>
      </c>
    </row>
    <row r="19" spans="1:60" x14ac:dyDescent="0.2">
      <c r="A19" s="18" t="s">
        <v>36</v>
      </c>
      <c r="B19" s="17"/>
      <c r="C19" s="17"/>
      <c r="D19" s="17"/>
      <c r="E19" s="17"/>
      <c r="F19" s="17"/>
      <c r="G19" s="51"/>
      <c r="I19" s="67"/>
      <c r="J19" s="119"/>
      <c r="K19" s="119"/>
      <c r="L19" s="119"/>
      <c r="M19" s="119"/>
      <c r="N19" s="68"/>
      <c r="O19" s="69"/>
      <c r="P19" s="68"/>
      <c r="Q19" s="136" t="str">
        <f>IF(german,"Callier-Faktoren","Callier factors")</f>
        <v>Callier-Faktoren</v>
      </c>
      <c r="R19" s="141">
        <v>1.05</v>
      </c>
      <c r="S19" s="138" t="str">
        <f>IF(german,"für Diffusor-Vergrößerer","for diffusion enlargers")</f>
        <v>für Diffusor-Vergrößerer</v>
      </c>
      <c r="T19" s="68"/>
      <c r="U19" s="68"/>
      <c r="V19" s="68"/>
      <c r="W19" s="68"/>
      <c r="X19" s="68"/>
      <c r="Y19" s="68"/>
      <c r="Z19" s="68"/>
      <c r="AB19" s="15">
        <f t="shared" ref="AB19:AG19" si="19">HLOOKUP(B$21,$AN$6:$BC$20,14)+IF(RIGHT(B$26,1)=".",100,0)</f>
        <v>7</v>
      </c>
      <c r="AC19" s="15">
        <f t="shared" si="19"/>
        <v>7.67</v>
      </c>
      <c r="AD19" s="15">
        <f t="shared" si="19"/>
        <v>7.33</v>
      </c>
      <c r="AE19" s="15">
        <f t="shared" si="19"/>
        <v>7.33</v>
      </c>
      <c r="AF19" s="15">
        <f t="shared" si="19"/>
        <v>7</v>
      </c>
      <c r="AG19" s="15">
        <f t="shared" si="19"/>
        <v>6.67</v>
      </c>
      <c r="AI19">
        <f t="shared" si="10"/>
        <v>1.8556649761518964</v>
      </c>
      <c r="AJ19">
        <f t="shared" si="8"/>
        <v>2.1566949718158779</v>
      </c>
      <c r="AK19">
        <f t="shared" si="11"/>
        <v>2.4577249674798591</v>
      </c>
      <c r="AN19">
        <v>4</v>
      </c>
      <c r="AO19">
        <v>4.33</v>
      </c>
      <c r="AP19">
        <v>4.67</v>
      </c>
      <c r="AQ19" s="9">
        <v>5</v>
      </c>
      <c r="AR19" s="9">
        <v>5.33</v>
      </c>
      <c r="AS19" s="9">
        <v>5.67</v>
      </c>
      <c r="AT19" s="9">
        <v>6</v>
      </c>
      <c r="AU19" s="9">
        <v>6.33</v>
      </c>
      <c r="AV19" s="9">
        <v>6.67</v>
      </c>
      <c r="AW19" s="9">
        <v>7</v>
      </c>
      <c r="AX19" s="9">
        <v>7.33</v>
      </c>
      <c r="AY19" s="9">
        <v>7.67</v>
      </c>
      <c r="AZ19" s="9">
        <v>8</v>
      </c>
      <c r="BA19">
        <v>8.33</v>
      </c>
      <c r="BB19">
        <v>8.67</v>
      </c>
      <c r="BC19">
        <v>9</v>
      </c>
    </row>
    <row r="20" spans="1:60" ht="13.5" thickBot="1" x14ac:dyDescent="0.25">
      <c r="A20" s="18" t="s">
        <v>37</v>
      </c>
      <c r="B20" s="19"/>
      <c r="C20" s="19"/>
      <c r="D20" s="19"/>
      <c r="E20" s="19"/>
      <c r="F20" s="19"/>
      <c r="G20" s="103"/>
      <c r="I20" s="70"/>
      <c r="J20" s="71"/>
      <c r="K20" s="71"/>
      <c r="L20" s="71"/>
      <c r="M20" s="71"/>
      <c r="N20" s="68"/>
      <c r="O20" s="69"/>
      <c r="P20" s="68"/>
      <c r="Q20" s="136" t="str">
        <f>IF(german,"nach Richard J. Henry","acc. to Richard J. Henry")</f>
        <v>nach Richard J. Henry</v>
      </c>
      <c r="R20" s="141">
        <v>1.26</v>
      </c>
      <c r="S20" s="138" t="str">
        <f>IF(german,"für Kondensor-Vergrößerer","for condenser enlargers")</f>
        <v>für Kondensor-Vergrößerer</v>
      </c>
      <c r="T20" s="68"/>
      <c r="U20" s="68"/>
      <c r="V20" s="68"/>
      <c r="W20" s="68"/>
      <c r="X20" s="68"/>
      <c r="Y20" s="68"/>
      <c r="Z20" s="68"/>
      <c r="AB20" s="15">
        <f t="shared" ref="AB20:AG20" si="20">HLOOKUP(B$21,$AN$6:$BC$20,15)+IF(RIGHT(B$26,1)=".",100,0)</f>
        <v>8</v>
      </c>
      <c r="AC20" s="15">
        <f t="shared" si="20"/>
        <v>8.67</v>
      </c>
      <c r="AD20" s="15">
        <f t="shared" si="20"/>
        <v>8.33</v>
      </c>
      <c r="AE20" s="15">
        <f t="shared" si="20"/>
        <v>8.33</v>
      </c>
      <c r="AF20" s="15">
        <f t="shared" si="20"/>
        <v>8</v>
      </c>
      <c r="AG20" s="15">
        <f t="shared" si="20"/>
        <v>7.67</v>
      </c>
      <c r="AN20">
        <v>5</v>
      </c>
      <c r="AO20">
        <v>5.33</v>
      </c>
      <c r="AP20">
        <v>5.67</v>
      </c>
      <c r="AQ20" s="9">
        <v>6</v>
      </c>
      <c r="AR20" s="9">
        <v>6.33</v>
      </c>
      <c r="AS20" s="9">
        <v>6.67</v>
      </c>
      <c r="AT20" s="9">
        <v>7</v>
      </c>
      <c r="AU20" s="9">
        <v>7.33</v>
      </c>
      <c r="AV20" s="9">
        <v>7.67</v>
      </c>
      <c r="AW20" s="9">
        <v>8</v>
      </c>
      <c r="AX20" s="9">
        <v>8.33</v>
      </c>
      <c r="AY20" s="9">
        <v>8.67</v>
      </c>
      <c r="AZ20" s="9">
        <v>9</v>
      </c>
      <c r="BA20">
        <v>9.33</v>
      </c>
      <c r="BB20">
        <v>9.67</v>
      </c>
      <c r="BC20">
        <v>10</v>
      </c>
    </row>
    <row r="21" spans="1:60" s="24" customFormat="1" x14ac:dyDescent="0.2">
      <c r="A21" s="20" t="str">
        <f>IF(german,"Korrektur um +/- DIN","correction by +/- DIN")</f>
        <v>Korrektur um +/- DIN</v>
      </c>
      <c r="B21" s="21">
        <v>0</v>
      </c>
      <c r="C21" s="22">
        <v>2</v>
      </c>
      <c r="D21" s="22">
        <v>1</v>
      </c>
      <c r="E21" s="22">
        <v>1</v>
      </c>
      <c r="F21" s="22">
        <v>0</v>
      </c>
      <c r="G21" s="23">
        <v>-1</v>
      </c>
      <c r="H21"/>
      <c r="I21" s="67"/>
      <c r="J21" s="68"/>
      <c r="K21" s="68"/>
      <c r="L21" s="68"/>
      <c r="M21" s="68"/>
      <c r="N21" s="68"/>
      <c r="O21" s="69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24" t="s">
        <v>82</v>
      </c>
      <c r="AB21" s="24">
        <f t="shared" ref="AB21:AG21" si="21">SEARCH(":",B6)+1</f>
        <v>3</v>
      </c>
      <c r="AC21" s="24">
        <f t="shared" si="21"/>
        <v>3</v>
      </c>
      <c r="AD21" s="24">
        <f t="shared" si="21"/>
        <v>3</v>
      </c>
      <c r="AE21" s="24">
        <f t="shared" si="21"/>
        <v>3</v>
      </c>
      <c r="AF21" s="24">
        <f t="shared" si="21"/>
        <v>4</v>
      </c>
      <c r="AG21" s="24">
        <f t="shared" si="21"/>
        <v>4</v>
      </c>
      <c r="AO21"/>
    </row>
    <row r="22" spans="1:60" s="24" customFormat="1" x14ac:dyDescent="0.2">
      <c r="A22" s="25" t="str">
        <f>IF(german,"tatsächlich ISO/°","real speed ISO/°")</f>
        <v>tatsächlich ISO/°</v>
      </c>
      <c r="B22" s="26" t="str">
        <f t="shared" ref="B22:G22" si="22">AB3&amp;"/"&amp;AB2&amp;"°"</f>
        <v>100/21°</v>
      </c>
      <c r="C22" s="27" t="str">
        <f t="shared" si="22"/>
        <v>160/23°</v>
      </c>
      <c r="D22" s="27" t="str">
        <f t="shared" si="22"/>
        <v>160/23°</v>
      </c>
      <c r="E22" s="27" t="str">
        <f t="shared" si="22"/>
        <v>200/24°</v>
      </c>
      <c r="F22" s="27" t="str">
        <f t="shared" si="22"/>
        <v>200/24°</v>
      </c>
      <c r="G22" s="28" t="str">
        <f t="shared" si="22"/>
        <v>250/25°</v>
      </c>
      <c r="H22"/>
      <c r="I22" s="67"/>
      <c r="J22" s="68"/>
      <c r="K22" s="68"/>
      <c r="L22" s="68"/>
      <c r="M22" s="68"/>
      <c r="N22" s="68"/>
      <c r="O22" s="69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24" t="s">
        <v>84</v>
      </c>
      <c r="AB22" s="24">
        <f>ROUND(B$21/3,0)</f>
        <v>0</v>
      </c>
      <c r="AC22" s="24">
        <f t="shared" ref="AC22:AG22" si="23">ROUND(C$21/3,0)</f>
        <v>1</v>
      </c>
      <c r="AD22" s="24">
        <f t="shared" si="23"/>
        <v>0</v>
      </c>
      <c r="AE22" s="24">
        <f t="shared" si="23"/>
        <v>0</v>
      </c>
      <c r="AF22" s="24">
        <f t="shared" si="23"/>
        <v>0</v>
      </c>
      <c r="AG22" s="24">
        <f t="shared" si="23"/>
        <v>0</v>
      </c>
      <c r="AM22" s="109" t="s">
        <v>105</v>
      </c>
      <c r="AN22" s="110" t="s">
        <v>95</v>
      </c>
      <c r="AO22" s="110" t="s">
        <v>96</v>
      </c>
      <c r="AP22" s="110" t="s">
        <v>97</v>
      </c>
      <c r="AQ22" s="110" t="s">
        <v>98</v>
      </c>
      <c r="AR22" s="110" t="s">
        <v>99</v>
      </c>
      <c r="AS22" s="110" t="s">
        <v>100</v>
      </c>
      <c r="AT22" s="110" t="s">
        <v>101</v>
      </c>
      <c r="AU22" s="110" t="s">
        <v>102</v>
      </c>
      <c r="AV22" s="107" t="s">
        <v>111</v>
      </c>
      <c r="AW22" s="107" t="s">
        <v>112</v>
      </c>
      <c r="AX22" s="116" t="s">
        <v>113</v>
      </c>
    </row>
    <row r="23" spans="1:60" ht="13.5" thickBot="1" x14ac:dyDescent="0.25">
      <c r="A23" s="30" t="str">
        <f>IF(german,"gamma =","gamma =")</f>
        <v>gamma =</v>
      </c>
      <c r="B23" s="31">
        <f t="shared" ref="B23:G23" ca="1" si="24">IF(AB51&lt;0,"--",AB51)</f>
        <v>0.5083333333333333</v>
      </c>
      <c r="C23" s="32">
        <f t="shared" ca="1" si="24"/>
        <v>0.56666666666666665</v>
      </c>
      <c r="D23" s="33">
        <f t="shared" ca="1" si="24"/>
        <v>0.625</v>
      </c>
      <c r="E23" s="34">
        <f t="shared" ca="1" si="24"/>
        <v>0.67499999999999993</v>
      </c>
      <c r="F23" s="35">
        <f t="shared" ca="1" si="24"/>
        <v>0.76666666666666672</v>
      </c>
      <c r="G23" s="36">
        <f t="shared" ca="1" si="24"/>
        <v>0.90833333333333321</v>
      </c>
      <c r="I23" s="67"/>
      <c r="J23" s="68"/>
      <c r="K23" s="68"/>
      <c r="L23" s="68"/>
      <c r="M23" s="68"/>
      <c r="O23" s="69"/>
      <c r="P23" s="68"/>
      <c r="Q23" s="15"/>
      <c r="R23" s="15"/>
      <c r="S23" s="15"/>
      <c r="T23" s="15"/>
      <c r="U23" s="15"/>
      <c r="V23" s="15"/>
      <c r="W23" s="68"/>
      <c r="X23" s="68"/>
      <c r="Y23" s="68"/>
      <c r="Z23" s="68"/>
      <c r="AM23" s="111">
        <v>99</v>
      </c>
      <c r="AN23" s="112">
        <v>1</v>
      </c>
      <c r="AO23" s="112">
        <v>2</v>
      </c>
      <c r="AP23" s="112">
        <v>3</v>
      </c>
      <c r="AQ23" s="112">
        <v>4</v>
      </c>
      <c r="AR23" s="112">
        <v>5</v>
      </c>
      <c r="AS23" s="112">
        <v>6</v>
      </c>
      <c r="AT23" s="112">
        <v>7</v>
      </c>
      <c r="AU23" s="112">
        <v>8</v>
      </c>
      <c r="AV23" s="112">
        <v>9</v>
      </c>
      <c r="AW23" s="112">
        <v>10</v>
      </c>
      <c r="AX23" s="113">
        <v>11</v>
      </c>
    </row>
    <row r="24" spans="1:60" x14ac:dyDescent="0.2">
      <c r="A24" s="37" t="str">
        <f>IF(german,"gewünschtes gamma =","target value gamma =")</f>
        <v>gewünschtes gamma =</v>
      </c>
      <c r="B24" s="38">
        <v>0.55000000000000004</v>
      </c>
      <c r="C24" s="39">
        <v>0.55000000000000004</v>
      </c>
      <c r="D24" s="39">
        <v>0.55000000000000004</v>
      </c>
      <c r="E24" s="39">
        <v>0.55000000000000004</v>
      </c>
      <c r="F24" s="39">
        <v>0.55000000000000004</v>
      </c>
      <c r="G24" s="40">
        <v>0.55000000000000004</v>
      </c>
      <c r="I24" s="67"/>
      <c r="J24" s="68"/>
      <c r="K24" s="68"/>
      <c r="L24" s="68"/>
      <c r="M24" s="68"/>
      <c r="N24" s="68"/>
      <c r="O24" s="69"/>
      <c r="P24" s="68"/>
      <c r="Q24" s="15"/>
      <c r="R24" s="15"/>
      <c r="S24" s="15"/>
      <c r="T24" s="15"/>
      <c r="U24" s="15"/>
      <c r="V24" s="15"/>
      <c r="W24" s="68"/>
      <c r="X24" s="68"/>
      <c r="Y24" s="68"/>
      <c r="Z24" s="68"/>
      <c r="AA24" s="24" t="s">
        <v>104</v>
      </c>
      <c r="AB24">
        <f>IF(ISBLANK(B1),99,HLOOKUP(B1,$AM$22:$AX$23,2,0))</f>
        <v>9</v>
      </c>
      <c r="AC24">
        <f>IF(ISBLANK(C1),AB24,HLOOKUP(C1,$AM$22:$AX$23,2,0))</f>
        <v>9</v>
      </c>
      <c r="AD24">
        <f t="shared" ref="AD24:AG24" si="25">IF(ISBLANK(D1),AC24,HLOOKUP(D1,$AM$22:$AX$23,2,0))</f>
        <v>9</v>
      </c>
      <c r="AE24">
        <f t="shared" si="25"/>
        <v>9</v>
      </c>
      <c r="AF24">
        <f t="shared" si="25"/>
        <v>9</v>
      </c>
      <c r="AG24">
        <f t="shared" si="25"/>
        <v>9</v>
      </c>
      <c r="AL24" s="24" t="str">
        <f>IF(german,"Steigung der Funktion f=Zeit(gamma)","Slope of function f=time(gamma)")</f>
        <v>Steigung der Funktion f=Zeit(gamma)</v>
      </c>
      <c r="AM24" s="114">
        <v>24</v>
      </c>
      <c r="AN24" s="115">
        <v>19.600000000000001</v>
      </c>
      <c r="AO24" s="115">
        <v>26.1</v>
      </c>
      <c r="AP24" s="115">
        <v>33.700000000000003</v>
      </c>
      <c r="AQ24" s="115">
        <v>21.7</v>
      </c>
      <c r="AR24" s="115">
        <v>23.9</v>
      </c>
      <c r="AS24" s="115">
        <v>26.6</v>
      </c>
      <c r="AT24" s="115">
        <v>17.2</v>
      </c>
      <c r="AU24" s="115">
        <v>18.8</v>
      </c>
      <c r="AV24" s="108">
        <v>24.5</v>
      </c>
      <c r="AW24" s="108">
        <v>24</v>
      </c>
      <c r="AX24" s="117">
        <v>24</v>
      </c>
    </row>
    <row r="25" spans="1:60" ht="13.5" thickBot="1" x14ac:dyDescent="0.25">
      <c r="A25" s="12" t="str">
        <f>IF(german,"neue Entwicklungszeit =","new development time =")</f>
        <v>neue Entwicklungszeit =</v>
      </c>
      <c r="B25" s="41" t="str">
        <f t="shared" ref="B25:G25" ca="1" si="26">IF(ISNUMBER(AB28),TEXT(AB28/1440,"mm:ss"),"--")</f>
        <v>06:38</v>
      </c>
      <c r="C25" s="42" t="str">
        <f t="shared" ca="1" si="26"/>
        <v>06:21</v>
      </c>
      <c r="D25" s="42" t="str">
        <f t="shared" ca="1" si="26"/>
        <v>06:16</v>
      </c>
      <c r="E25" s="42" t="str">
        <f t="shared" ca="1" si="26"/>
        <v>06:39</v>
      </c>
      <c r="F25" s="42" t="str">
        <f t="shared" ca="1" si="26"/>
        <v>06:21</v>
      </c>
      <c r="G25" s="43" t="str">
        <f t="shared" ca="1" si="26"/>
        <v>08:00</v>
      </c>
      <c r="I25" s="67"/>
      <c r="J25" s="68"/>
      <c r="K25" s="68"/>
      <c r="L25" s="68"/>
      <c r="M25" s="68"/>
      <c r="N25" s="68"/>
      <c r="O25" s="69"/>
      <c r="P25" s="68"/>
      <c r="W25" s="68"/>
      <c r="X25" s="68"/>
      <c r="Y25" s="68"/>
      <c r="Z25" s="68"/>
      <c r="AA25" s="24" t="s">
        <v>103</v>
      </c>
      <c r="AB25">
        <f>IF(ISNUMBER(AB24),AB24,99)</f>
        <v>9</v>
      </c>
      <c r="AC25">
        <f t="shared" ref="AC25:AG25" si="27">IF(ISNUMBER(AC24),AC24,99)</f>
        <v>9</v>
      </c>
      <c r="AD25">
        <f t="shared" si="27"/>
        <v>9</v>
      </c>
      <c r="AE25">
        <f t="shared" si="27"/>
        <v>9</v>
      </c>
      <c r="AF25">
        <f t="shared" si="27"/>
        <v>9</v>
      </c>
      <c r="AG25">
        <f t="shared" si="27"/>
        <v>9</v>
      </c>
      <c r="AH25" s="29"/>
    </row>
    <row r="26" spans="1:60" x14ac:dyDescent="0.2">
      <c r="A26" s="24" t="s">
        <v>128</v>
      </c>
      <c r="B26" s="57" t="s">
        <v>89</v>
      </c>
      <c r="C26" s="58"/>
      <c r="D26" s="58"/>
      <c r="E26" s="58" t="s">
        <v>126</v>
      </c>
      <c r="F26" s="58" t="s">
        <v>126</v>
      </c>
      <c r="G26" s="59" t="s">
        <v>126</v>
      </c>
      <c r="I26" s="67"/>
      <c r="J26" s="68"/>
      <c r="K26" s="68"/>
      <c r="L26" s="68"/>
      <c r="M26" s="68"/>
      <c r="N26" s="68"/>
      <c r="O26" s="69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24" t="s">
        <v>83</v>
      </c>
      <c r="AB26">
        <f>HLOOKUP(AB25,$AM$23:$AW$24,2,0)</f>
        <v>24.5</v>
      </c>
      <c r="AC26">
        <f t="shared" ref="AC26:AG26" si="28">HLOOKUP(AC25,$AM$23:$AW$24,2,0)</f>
        <v>24.5</v>
      </c>
      <c r="AD26">
        <f t="shared" si="28"/>
        <v>24.5</v>
      </c>
      <c r="AE26">
        <f t="shared" si="28"/>
        <v>24.5</v>
      </c>
      <c r="AF26">
        <f t="shared" si="28"/>
        <v>24.5</v>
      </c>
      <c r="AG26">
        <f t="shared" si="28"/>
        <v>24.5</v>
      </c>
      <c r="AH26" s="29"/>
      <c r="AM26" t="str">
        <f>IF(german,"Bei der Formel für Berechnung der neuen Entwicklungszeit wird ein ungefähr linearer Zusammenhang angenommen (lt. Auswertung Kodak Xtol-Datenblatt)","In the formula for calculating the new development time, an approximately linear relationship is assumed (according to evaluation of Kodak Xtol data sheet).")</f>
        <v>Bei der Formel für Berechnung der neuen Entwicklungszeit wird ein ungefähr linearer Zusammenhang angenommen (lt. Auswertung Kodak Xtol-Datenblatt)</v>
      </c>
    </row>
    <row r="27" spans="1:60" ht="13.5" thickBot="1" x14ac:dyDescent="0.25">
      <c r="A27" s="24" t="s">
        <v>129</v>
      </c>
      <c r="B27" s="60" t="s">
        <v>108</v>
      </c>
      <c r="C27" s="61"/>
      <c r="D27" s="61"/>
      <c r="E27" s="61" t="s">
        <v>125</v>
      </c>
      <c r="F27" s="61" t="s">
        <v>124</v>
      </c>
      <c r="G27" s="62" t="s">
        <v>122</v>
      </c>
      <c r="H27" t="str">
        <f>IF(A29=5,IF(german,"mittl.gamma","mean gamma"),"")</f>
        <v/>
      </c>
      <c r="I27" s="72"/>
      <c r="J27" s="73"/>
      <c r="K27" s="73"/>
      <c r="L27" s="73"/>
      <c r="M27" s="73"/>
      <c r="N27" s="68"/>
      <c r="O27" s="74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24" t="s">
        <v>106</v>
      </c>
      <c r="AB27" s="15">
        <f t="shared" ref="AB27:AG27" si="29">IF(ISERROR(SEARCH(":",B6,AB21)),LEFT(B6,SEARCH(":",B6)-1)+MID(B6,AB21,2)/60,#N/A)</f>
        <v>5.6166666666666671</v>
      </c>
      <c r="AC27" s="15">
        <f t="shared" si="29"/>
        <v>6.75</v>
      </c>
      <c r="AD27" s="15">
        <f t="shared" si="29"/>
        <v>8.1</v>
      </c>
      <c r="AE27" s="15">
        <f t="shared" si="29"/>
        <v>9.7166666666666668</v>
      </c>
      <c r="AF27" s="15">
        <f t="shared" si="29"/>
        <v>11.666666666666666</v>
      </c>
      <c r="AG27" s="15">
        <f t="shared" si="29"/>
        <v>16.783333333333335</v>
      </c>
      <c r="AM27" t="str">
        <f>IF(german,"Je größer der Faktor, um so größer ist der Einfluss der Zeit auf den gamma-Wert.","The larger the factor, the greater the influence of time on the gamma value.")</f>
        <v>Je größer der Faktor, um so größer ist der Einfluss der Zeit auf den gamma-Wert.</v>
      </c>
    </row>
    <row r="28" spans="1:60" x14ac:dyDescent="0.2">
      <c r="H28" t="str">
        <f>IF(A29=5,IF(german,"Zonen III-VII","zones III-VII"),"")</f>
        <v/>
      </c>
      <c r="I28" s="77"/>
      <c r="J28" s="77"/>
      <c r="K28" s="77"/>
      <c r="L28" s="77"/>
      <c r="M28" s="77"/>
      <c r="N28" s="77"/>
      <c r="O28" s="77"/>
      <c r="AA28" s="24" t="s">
        <v>90</v>
      </c>
      <c r="AB28">
        <f t="shared" ref="AB28:AG28" ca="1" si="30">AB27+AB26*(B24-B23)</f>
        <v>6.6375000000000028</v>
      </c>
      <c r="AC28">
        <f t="shared" ca="1" si="30"/>
        <v>6.3416666666666686</v>
      </c>
      <c r="AD28">
        <f t="shared" ca="1" si="30"/>
        <v>6.2625000000000011</v>
      </c>
      <c r="AE28">
        <f t="shared" ca="1" si="30"/>
        <v>6.6541666666666694</v>
      </c>
      <c r="AF28">
        <f t="shared" ca="1" si="30"/>
        <v>6.3583333333333325</v>
      </c>
      <c r="AG28">
        <f t="shared" ca="1" si="30"/>
        <v>8.0041666666666718</v>
      </c>
      <c r="AM28" t="str">
        <f>IF(german,"In die grünen Zellen mit Film 1…3 können eigene Daten eingegeben werden (Mittelwert ca. 24).","You can enter your own data in the green cells with film 1…3 (mean value about 24).")</f>
        <v>In die grünen Zellen mit Film 1…3 können eigene Daten eingegeben werden (Mittelwert ca. 24).</v>
      </c>
    </row>
    <row r="29" spans="1:60" x14ac:dyDescent="0.2">
      <c r="A29">
        <f>MAX(B29:G29)</f>
        <v>0</v>
      </c>
      <c r="B29" s="68"/>
      <c r="C29" s="68"/>
      <c r="D29" s="68"/>
      <c r="E29" s="68"/>
      <c r="F29" s="68"/>
      <c r="G29" s="68"/>
      <c r="H29" t="str">
        <f>IF(A29=5,"&lt;&lt;&lt;&lt;   5","")</f>
        <v/>
      </c>
      <c r="I29" s="145" t="str">
        <f>IF(german,"Belichtungsreihe für Test","Test exposures")</f>
        <v>Belichtungsreihe für Test</v>
      </c>
      <c r="J29" s="146"/>
    </row>
    <row r="30" spans="1:60" x14ac:dyDescent="0.2">
      <c r="I30" s="84" t="str">
        <f>IF(german,"Beli: EV =","meter: EV =")</f>
        <v>Beli: EV =</v>
      </c>
      <c r="J30" s="87">
        <v>12</v>
      </c>
      <c r="K30" t="str">
        <f>IF(german,"&lt;-- EV-Wert nach Belichtungsmesser (=Zone V)","&lt;-- EV according to light meter (= Zone V)")</f>
        <v>&lt;-- EV-Wert nach Belichtungsmesser (=Zone V)</v>
      </c>
      <c r="AB30" t="s">
        <v>88</v>
      </c>
    </row>
    <row r="31" spans="1:60" x14ac:dyDescent="0.2">
      <c r="I31" s="85" t="str">
        <f>"Zone "&amp;ROMAN(J31)</f>
        <v>Zone I</v>
      </c>
      <c r="J31" s="88">
        <v>1</v>
      </c>
      <c r="K31" t="str">
        <f>IF(german,"&lt;-- aus nachfolgender Tabelle eine Belichtung","&lt;-- select an exposure für this zone")</f>
        <v>&lt;-- aus nachfolgender Tabelle eine Belichtung</v>
      </c>
      <c r="AB31" s="24">
        <f>IF(AND(ISNUMBER(B7),ISNUMBER(B8)),(B8-B7)/0.3,-99)</f>
        <v>-99</v>
      </c>
      <c r="AC31" s="24">
        <f t="shared" ref="AC31:AG34" si="31">IF(AND(ISNUMBER(C7),ISNUMBER(C8)),(C8-C7)/0.3,-99)</f>
        <v>-99</v>
      </c>
      <c r="AD31" s="24">
        <f t="shared" si="31"/>
        <v>-99</v>
      </c>
      <c r="AE31" s="24">
        <f t="shared" si="31"/>
        <v>-99</v>
      </c>
      <c r="AF31" s="24">
        <f t="shared" si="31"/>
        <v>-99</v>
      </c>
      <c r="AG31" s="24">
        <f t="shared" si="31"/>
        <v>-99</v>
      </c>
    </row>
    <row r="32" spans="1:60" x14ac:dyDescent="0.2">
      <c r="I32" s="75"/>
      <c r="J32" s="69"/>
      <c r="K32" t="str">
        <f>IF(german,"     für diese Zone auswählen","     from the table below")</f>
        <v xml:space="preserve">     für diese Zone auswählen</v>
      </c>
      <c r="AB32" s="24">
        <f t="shared" ref="AB32:AB34" si="32">IF(AND(ISNUMBER(B8),ISNUMBER(B9)),(B9-B8)/0.3,-99)</f>
        <v>0.33333333333333337</v>
      </c>
      <c r="AC32" s="24">
        <f t="shared" si="31"/>
        <v>0.43333333333333335</v>
      </c>
      <c r="AD32" s="24">
        <f t="shared" si="31"/>
        <v>0.4</v>
      </c>
      <c r="AE32" s="24">
        <f t="shared" si="31"/>
        <v>0.5</v>
      </c>
      <c r="AF32" s="24">
        <f t="shared" si="31"/>
        <v>0.4</v>
      </c>
      <c r="AG32" s="24">
        <f t="shared" si="31"/>
        <v>0.3</v>
      </c>
    </row>
    <row r="33" spans="8:33" x14ac:dyDescent="0.2">
      <c r="I33" s="80" t="str">
        <f>IF(german,"Blende f/","f-stop")</f>
        <v>Blende f/</v>
      </c>
      <c r="J33" s="81" t="str">
        <f>IF(german,"Zeit in s","time in s")</f>
        <v>Zeit in s</v>
      </c>
      <c r="AB33" s="24">
        <f t="shared" si="32"/>
        <v>0.43333333333333335</v>
      </c>
      <c r="AC33" s="24">
        <f t="shared" si="31"/>
        <v>0.53333333333333333</v>
      </c>
      <c r="AD33" s="24">
        <f t="shared" si="31"/>
        <v>0.53333333333333333</v>
      </c>
      <c r="AE33" s="24">
        <f t="shared" si="31"/>
        <v>0.66666666666666674</v>
      </c>
      <c r="AF33" s="24">
        <f t="shared" si="31"/>
        <v>0.7</v>
      </c>
      <c r="AG33" s="24">
        <f t="shared" si="31"/>
        <v>0.76666666666666661</v>
      </c>
    </row>
    <row r="34" spans="8:33" x14ac:dyDescent="0.2">
      <c r="H34" s="15"/>
      <c r="I34" s="78">
        <v>2</v>
      </c>
      <c r="J34" s="79" t="e">
        <f>"1/"&amp;VLOOKUP($BF$7-3,$BG$7:$BH$18,2,FALSE)</f>
        <v>#N/A</v>
      </c>
      <c r="K34" s="15"/>
      <c r="L34" s="15"/>
      <c r="M34" s="15"/>
      <c r="AB34" s="24">
        <f t="shared" si="32"/>
        <v>0.48333333333333323</v>
      </c>
      <c r="AC34" s="24">
        <f t="shared" si="31"/>
        <v>0.56666666666666665</v>
      </c>
      <c r="AD34" s="24">
        <f t="shared" si="31"/>
        <v>0.61666666666666647</v>
      </c>
      <c r="AE34" s="24">
        <f t="shared" si="31"/>
        <v>0.66666666666666674</v>
      </c>
      <c r="AF34" s="24">
        <f t="shared" si="31"/>
        <v>0.78333333333333355</v>
      </c>
      <c r="AG34" s="24">
        <f t="shared" si="31"/>
        <v>0.91666666666666674</v>
      </c>
    </row>
    <row r="35" spans="8:33" x14ac:dyDescent="0.2">
      <c r="I35" s="78">
        <v>2.8</v>
      </c>
      <c r="J35" s="79" t="e">
        <f>"1/"&amp;VLOOKUP($BF$7-2,$BG$7:$BH$18,2,FALSE)</f>
        <v>#N/A</v>
      </c>
      <c r="AB35" s="24">
        <f t="shared" ref="AB35:AB36" si="33">IF(AND(ISNUMBER(B10),ISNUMBER(B12)),(B12-B10)/0.6,IF(AND(ISNUMBER(B11),ISNUMBER(B12)),(B12-B11)/0.3,-99))</f>
        <v>0.48333333333333334</v>
      </c>
      <c r="AC35" s="24">
        <f t="shared" ref="AC35:AC36" si="34">IF(AND(ISNUMBER(C10),ISNUMBER(C12)),(C12-C10)/0.6,IF(AND(ISNUMBER(C11),ISNUMBER(C12)),(C12-C11)/0.3,-99))</f>
        <v>0.56666666666666676</v>
      </c>
      <c r="AD35" s="24">
        <f t="shared" ref="AD35:AD36" si="35">IF(AND(ISNUMBER(D10),ISNUMBER(D12)),(D12-D10)/0.6,IF(AND(ISNUMBER(D11),ISNUMBER(D12)),(D12-D11)/0.3,-99))</f>
        <v>0.6166666666666667</v>
      </c>
      <c r="AE35" s="24">
        <f t="shared" ref="AE35:AE36" si="36">IF(AND(ISNUMBER(E10),ISNUMBER(E12)),(E12-E10)/0.6,IF(AND(ISNUMBER(E11),ISNUMBER(E12)),(E12-E11)/0.3,-99))</f>
        <v>0.66666666666666663</v>
      </c>
      <c r="AF35" s="24">
        <f t="shared" ref="AF35:AF36" si="37">IF(AND(ISNUMBER(F10),ISNUMBER(F12)),(F12-F10)/0.6,IF(AND(ISNUMBER(F11),ISNUMBER(F12)),(F12-F11)/0.3,-99))</f>
        <v>0.78333333333333344</v>
      </c>
      <c r="AG35" s="24">
        <f t="shared" ref="AG35:AG36" si="38">IF(AND(ISNUMBER(G10),ISNUMBER(G12)),(G12-G10)/0.6,IF(AND(ISNUMBER(G11),ISNUMBER(G12)),(G12-G11)/0.3,-99))</f>
        <v>0.91666666666666674</v>
      </c>
    </row>
    <row r="36" spans="8:33" x14ac:dyDescent="0.2">
      <c r="I36" s="78">
        <v>4</v>
      </c>
      <c r="J36" s="79" t="e">
        <f>"1/"&amp;VLOOKUP($BF$7-1,$BG$7:$BH$18,2,FALSE)</f>
        <v>#N/A</v>
      </c>
      <c r="AA36" s="90" t="s">
        <v>53</v>
      </c>
      <c r="AB36" s="90">
        <f t="shared" si="33"/>
        <v>0.50833333333333341</v>
      </c>
      <c r="AC36" s="90">
        <f t="shared" si="34"/>
        <v>0.56666666666666665</v>
      </c>
      <c r="AD36" s="90">
        <f t="shared" si="35"/>
        <v>0.625</v>
      </c>
      <c r="AE36" s="90">
        <f t="shared" si="36"/>
        <v>0.67499999999999993</v>
      </c>
      <c r="AF36" s="90">
        <f t="shared" si="37"/>
        <v>0.76666666666666661</v>
      </c>
      <c r="AG36" s="90">
        <f t="shared" si="38"/>
        <v>0.90833333333333321</v>
      </c>
    </row>
    <row r="37" spans="8:33" x14ac:dyDescent="0.2">
      <c r="I37" s="78">
        <v>5.6</v>
      </c>
      <c r="J37" s="79" t="str">
        <f>"1/"&amp;VLOOKUP($BF$7,$BG$7:$BH$18,2,FALSE)</f>
        <v>1/2000</v>
      </c>
      <c r="AB37" s="24">
        <f t="shared" ref="AB37:AB43" si="39">IF(AND(ISNUMBER(B12),ISNUMBER(B14)),(B14-B12)/0.6,IF(AND(ISNUMBER(B12),ISNUMBER(B13)),(B13-B12)/0.3,-99))</f>
        <v>0.53333333333333333</v>
      </c>
      <c r="AC37" s="24">
        <f t="shared" ref="AC37:AC43" si="40">IF(AND(ISNUMBER(C12),ISNUMBER(C14)),(C14-C12)/0.6,IF(AND(ISNUMBER(C12),ISNUMBER(C13)),(C13-C12)/0.3,-99))</f>
        <v>0.58333333333333348</v>
      </c>
      <c r="AD37" s="24">
        <f t="shared" ref="AD37:AD43" si="41">IF(AND(ISNUMBER(D12),ISNUMBER(D14)),(D14-D12)/0.6,IF(AND(ISNUMBER(D12),ISNUMBER(D13)),(D13-D12)/0.3,-99))</f>
        <v>0.63333333333333319</v>
      </c>
      <c r="AE37" s="24">
        <f t="shared" ref="AE37:AE43" si="42">IF(AND(ISNUMBER(E12),ISNUMBER(E14)),(E14-E12)/0.6,IF(AND(ISNUMBER(E12),ISNUMBER(E13)),(E13-E12)/0.3,-99))</f>
        <v>0.68333333333333346</v>
      </c>
      <c r="AF37" s="24">
        <f t="shared" ref="AF37:AF43" si="43">IF(AND(ISNUMBER(F12),ISNUMBER(F14)),(F14-F12)/0.6,IF(AND(ISNUMBER(F12),ISNUMBER(F13)),(F13-F12)/0.3,-99))</f>
        <v>0.75000000000000011</v>
      </c>
      <c r="AG37" s="24">
        <f t="shared" ref="AG37:AG43" si="44">IF(AND(ISNUMBER(G12),ISNUMBER(G14)),(G14-G12)/0.6,IF(AND(ISNUMBER(G12),ISNUMBER(G13)),(G13-G12)/0.3,-99))</f>
        <v>0.89999999999999991</v>
      </c>
    </row>
    <row r="38" spans="8:33" x14ac:dyDescent="0.2">
      <c r="I38" s="78">
        <v>8</v>
      </c>
      <c r="J38" s="79" t="str">
        <f>"1/"&amp;VLOOKUP($BF$7+1,$BG$7:$BH$18,2,FALSE)</f>
        <v>1/1000</v>
      </c>
      <c r="AB38" s="24">
        <f t="shared" si="39"/>
        <v>0.53333333333333344</v>
      </c>
      <c r="AC38" s="24">
        <f t="shared" si="40"/>
        <v>0.6000000000000002</v>
      </c>
      <c r="AD38" s="24">
        <f t="shared" si="41"/>
        <v>0.65000000000000024</v>
      </c>
      <c r="AE38" s="24">
        <f t="shared" si="42"/>
        <v>0.69166666666666676</v>
      </c>
      <c r="AF38" s="24">
        <f t="shared" si="43"/>
        <v>0.75833333333333353</v>
      </c>
      <c r="AG38" s="24">
        <f t="shared" si="44"/>
        <v>0.85000000000000009</v>
      </c>
    </row>
    <row r="39" spans="8:33" x14ac:dyDescent="0.2">
      <c r="I39" s="78">
        <v>11</v>
      </c>
      <c r="J39" s="79" t="str">
        <f>"1/"&amp;VLOOKUP($BF$7+2,$BG$7:$BH$18,2,FALSE)</f>
        <v>1/500</v>
      </c>
      <c r="AB39" s="24">
        <f t="shared" si="39"/>
        <v>0.55000000000000016</v>
      </c>
      <c r="AC39" s="24">
        <f t="shared" si="40"/>
        <v>0.61666666666666647</v>
      </c>
      <c r="AD39" s="24">
        <f t="shared" si="41"/>
        <v>0.66666666666666696</v>
      </c>
      <c r="AE39" s="24">
        <f t="shared" si="42"/>
        <v>0.7</v>
      </c>
      <c r="AF39" s="24">
        <f t="shared" si="43"/>
        <v>0.76666666666666661</v>
      </c>
      <c r="AG39" s="24">
        <f t="shared" si="44"/>
        <v>0.8</v>
      </c>
    </row>
    <row r="40" spans="8:33" x14ac:dyDescent="0.2">
      <c r="I40" s="78">
        <v>16</v>
      </c>
      <c r="J40" s="79" t="str">
        <f>"1/"&amp;VLOOKUP($BF$7+3,$BG$7:$BH$18,2,FALSE)</f>
        <v>1/250</v>
      </c>
      <c r="AB40" s="24">
        <f t="shared" si="39"/>
        <v>0.54999999999999982</v>
      </c>
      <c r="AC40" s="24">
        <f t="shared" si="40"/>
        <v>0.63333333333333319</v>
      </c>
      <c r="AD40" s="24">
        <f t="shared" si="41"/>
        <v>0.64999999999999991</v>
      </c>
      <c r="AE40" s="24">
        <f t="shared" si="42"/>
        <v>0.7</v>
      </c>
      <c r="AF40" s="24">
        <f t="shared" si="43"/>
        <v>0.76666666666666661</v>
      </c>
      <c r="AG40" s="24">
        <f t="shared" si="44"/>
        <v>0.80000000000000038</v>
      </c>
    </row>
    <row r="41" spans="8:33" x14ac:dyDescent="0.2">
      <c r="I41" s="82">
        <v>22</v>
      </c>
      <c r="J41" s="83" t="str">
        <f>"1/"&amp;VLOOKUP($BF$7+4,$BG$7:$BH$18,2,FALSE)</f>
        <v>1/125</v>
      </c>
      <c r="AB41" s="24">
        <f t="shared" si="39"/>
        <v>0.51666666666666683</v>
      </c>
      <c r="AC41" s="24">
        <f t="shared" si="40"/>
        <v>-99</v>
      </c>
      <c r="AD41" s="24">
        <f t="shared" si="41"/>
        <v>0.61666666666666647</v>
      </c>
      <c r="AE41" s="24">
        <f t="shared" si="42"/>
        <v>0.68333333333333324</v>
      </c>
      <c r="AF41" s="24">
        <f t="shared" si="43"/>
        <v>0.76666666666666661</v>
      </c>
      <c r="AG41" s="24">
        <f t="shared" si="44"/>
        <v>0.78333333333333366</v>
      </c>
    </row>
    <row r="42" spans="8:33" x14ac:dyDescent="0.2">
      <c r="I42" s="89" t="str">
        <f>"+ 0"&amp;IF(german,",",".")&amp;TEXT((J30-INT(J30))*10,"0")</f>
        <v>+ 0,0</v>
      </c>
      <c r="J42" s="86" t="str">
        <f>IF(german,"Blendenstuf.","f-stops")</f>
        <v>Blendenstuf.</v>
      </c>
      <c r="AB42" s="24">
        <f>IF(AND(ISNUMBER(B17),ISNUMBER(B19)),(B19-B17)/0.6,IF(AND(ISNUMBER(B17),ISNUMBER(B18)),(B18-B17)/0.3,-99))</f>
        <v>0.50000000000000044</v>
      </c>
      <c r="AC42" s="24">
        <f t="shared" si="40"/>
        <v>-99</v>
      </c>
      <c r="AD42" s="24">
        <f t="shared" si="41"/>
        <v>0.59999999999999987</v>
      </c>
      <c r="AE42" s="24">
        <f t="shared" si="42"/>
        <v>0.66666666666666652</v>
      </c>
      <c r="AF42" s="24">
        <f t="shared" si="43"/>
        <v>-99</v>
      </c>
      <c r="AG42" s="24">
        <f t="shared" si="44"/>
        <v>0.76666666666666661</v>
      </c>
    </row>
    <row r="43" spans="8:33" x14ac:dyDescent="0.2">
      <c r="AB43" s="24">
        <f t="shared" si="39"/>
        <v>-99</v>
      </c>
      <c r="AC43" s="24">
        <f t="shared" si="40"/>
        <v>-99</v>
      </c>
      <c r="AD43" s="24">
        <f t="shared" si="41"/>
        <v>-99</v>
      </c>
      <c r="AE43" s="24">
        <f t="shared" si="42"/>
        <v>-99</v>
      </c>
      <c r="AF43" s="24">
        <f t="shared" si="43"/>
        <v>-99</v>
      </c>
      <c r="AG43" s="24">
        <f t="shared" si="44"/>
        <v>-99</v>
      </c>
    </row>
    <row r="44" spans="8:33" x14ac:dyDescent="0.2">
      <c r="I44" t="str">
        <f>IF(german,"Kleinbildfilm: 9 Testaufnahmen Zonen I…IX","35 mm film: 9 test exposures for zones I…IX")</f>
        <v>Kleinbildfilm: 9 Testaufnahmen Zonen I…IX</v>
      </c>
      <c r="AB44" s="24">
        <f>IF(AND(ISNUMBER(B19),ISNUMBER(B20)),(B20-B19)/0.3,-99)</f>
        <v>-99</v>
      </c>
      <c r="AC44" s="24">
        <f t="shared" ref="AC44:AG44" si="45">IF(AND(ISNUMBER(C19),ISNUMBER(C20)),(C20-C19)/0.3,-99)</f>
        <v>-99</v>
      </c>
      <c r="AD44" s="24">
        <f t="shared" si="45"/>
        <v>-99</v>
      </c>
      <c r="AE44" s="24">
        <f t="shared" si="45"/>
        <v>-99</v>
      </c>
      <c r="AF44" s="24">
        <f t="shared" si="45"/>
        <v>-99</v>
      </c>
      <c r="AG44" s="24">
        <f t="shared" si="45"/>
        <v>-99</v>
      </c>
    </row>
    <row r="45" spans="8:33" x14ac:dyDescent="0.2">
      <c r="I45" t="str">
        <f>IF(german,"Filmzunge 76mm weit abschneiden,","Cut film tongue by 76mm length,")</f>
        <v>Filmzunge 76mm weit abschneiden,</v>
      </c>
    </row>
    <row r="46" spans="8:33" x14ac:dyDescent="0.2">
      <c r="I46" t="str">
        <f>IF(german,"456mm Filmlänge in der Dunkelkammer abschneiden.","then cut 456mm film length in darkroom.")</f>
        <v>456mm Filmlänge in der Dunkelkammer abschneiden.</v>
      </c>
      <c r="AB46" s="24" t="str">
        <f t="shared" ref="AB46:AG50" si="46">ADDRESS(ROW(AB34)-AB$22,COLUMN(),4)</f>
        <v>AB34</v>
      </c>
      <c r="AC46" s="24" t="str">
        <f t="shared" si="46"/>
        <v>AC33</v>
      </c>
      <c r="AD46" s="24" t="str">
        <f t="shared" si="46"/>
        <v>AD34</v>
      </c>
      <c r="AE46" s="24" t="str">
        <f t="shared" si="46"/>
        <v>AE34</v>
      </c>
      <c r="AF46" s="24" t="str">
        <f t="shared" si="46"/>
        <v>AF34</v>
      </c>
      <c r="AG46" s="24" t="str">
        <f t="shared" si="46"/>
        <v>AG34</v>
      </c>
    </row>
    <row r="47" spans="8:33" x14ac:dyDescent="0.2">
      <c r="I47" t="str">
        <f>IF(german,"Rest eines 36er-Films reicht für 2 weitere solche Testfilme.","The rest of a film with 36 exp. is enough for 2 more such test films.")</f>
        <v>Rest eines 36er-Films reicht für 2 weitere solche Testfilme.</v>
      </c>
      <c r="AB47" s="24" t="str">
        <f t="shared" si="46"/>
        <v>AB35</v>
      </c>
      <c r="AC47" s="24" t="str">
        <f t="shared" si="46"/>
        <v>AC34</v>
      </c>
      <c r="AD47" s="24" t="str">
        <f t="shared" si="46"/>
        <v>AD35</v>
      </c>
      <c r="AE47" s="24" t="str">
        <f t="shared" si="46"/>
        <v>AE35</v>
      </c>
      <c r="AF47" s="24" t="str">
        <f t="shared" si="46"/>
        <v>AF35</v>
      </c>
      <c r="AG47" s="24" t="str">
        <f t="shared" si="46"/>
        <v>AG35</v>
      </c>
    </row>
    <row r="48" spans="8:33" x14ac:dyDescent="0.2">
      <c r="H48" s="15"/>
      <c r="K48" s="15"/>
      <c r="L48" s="15"/>
      <c r="M48" s="15"/>
      <c r="AB48" s="24" t="str">
        <f t="shared" si="46"/>
        <v>AB36</v>
      </c>
      <c r="AC48" s="24" t="str">
        <f t="shared" si="46"/>
        <v>AC35</v>
      </c>
      <c r="AD48" s="24" t="str">
        <f t="shared" si="46"/>
        <v>AD36</v>
      </c>
      <c r="AE48" s="24" t="str">
        <f t="shared" si="46"/>
        <v>AE36</v>
      </c>
      <c r="AF48" s="24" t="str">
        <f t="shared" si="46"/>
        <v>AF36</v>
      </c>
      <c r="AG48" s="24" t="str">
        <f t="shared" si="46"/>
        <v>AG36</v>
      </c>
    </row>
    <row r="49" spans="8:34" x14ac:dyDescent="0.2">
      <c r="AB49" s="24" t="str">
        <f t="shared" si="46"/>
        <v>AB37</v>
      </c>
      <c r="AC49" s="24" t="str">
        <f t="shared" si="46"/>
        <v>AC36</v>
      </c>
      <c r="AD49" s="24" t="str">
        <f t="shared" si="46"/>
        <v>AD37</v>
      </c>
      <c r="AE49" s="24" t="str">
        <f t="shared" si="46"/>
        <v>AE37</v>
      </c>
      <c r="AF49" s="24" t="str">
        <f t="shared" si="46"/>
        <v>AF37</v>
      </c>
      <c r="AG49" s="24" t="str">
        <f t="shared" si="46"/>
        <v>AG37</v>
      </c>
      <c r="AH49" t="s">
        <v>80</v>
      </c>
    </row>
    <row r="50" spans="8:34" x14ac:dyDescent="0.2">
      <c r="I50" s="96" t="str">
        <f ca="1">IF(LO_eng,"Because of minor limitations in LibreOffice, captions for the diagram see here:","")</f>
        <v/>
      </c>
      <c r="AB50" s="24" t="str">
        <f t="shared" si="46"/>
        <v>AB38</v>
      </c>
      <c r="AC50" s="24" t="str">
        <f t="shared" si="46"/>
        <v>AC37</v>
      </c>
      <c r="AD50" s="24" t="str">
        <f t="shared" si="46"/>
        <v>AD38</v>
      </c>
      <c r="AE50" s="24" t="str">
        <f t="shared" si="46"/>
        <v>AE38</v>
      </c>
      <c r="AF50" s="24" t="str">
        <f t="shared" si="46"/>
        <v>AF38</v>
      </c>
      <c r="AG50" s="24" t="str">
        <f t="shared" si="46"/>
        <v>AG38</v>
      </c>
      <c r="AH50" t="s">
        <v>81</v>
      </c>
    </row>
    <row r="51" spans="8:34" x14ac:dyDescent="0.2">
      <c r="H51" s="98" t="str">
        <f ca="1">IF(LO_eng,"x-axis:","")</f>
        <v/>
      </c>
      <c r="I51" t="str">
        <f ca="1">IF(LO_eng,"Under-/over-exposure in EV (steps of exposure time or aperture),","")</f>
        <v/>
      </c>
      <c r="AA51" s="24" t="s">
        <v>71</v>
      </c>
      <c r="AB51">
        <f t="shared" ref="AB51:AG51" ca="1" si="47">IF(B29=5,AVERAGE(INDIRECT(AB46),INDIRECT(AB47),INDIRECT(AB48),INDIRECT(AB49),INDIRECT(AB50)),AVERAGE(INDIRECT(AB47),INDIRECT(AB48),INDIRECT(AB49)))</f>
        <v>0.5083333333333333</v>
      </c>
      <c r="AC51">
        <f t="shared" ca="1" si="47"/>
        <v>0.56666666666666665</v>
      </c>
      <c r="AD51">
        <f t="shared" ca="1" si="47"/>
        <v>0.625</v>
      </c>
      <c r="AE51">
        <f t="shared" ca="1" si="47"/>
        <v>0.67499999999999993</v>
      </c>
      <c r="AF51">
        <f t="shared" ca="1" si="47"/>
        <v>0.76666666666666672</v>
      </c>
      <c r="AG51">
        <f t="shared" ca="1" si="47"/>
        <v>0.90833333333333321</v>
      </c>
      <c r="AH51" t="s">
        <v>92</v>
      </c>
    </row>
    <row r="52" spans="8:34" x14ac:dyDescent="0.2">
      <c r="I52" t="str">
        <f ca="1">IF(LO_eng,"dashed lines (- - -) refer to values of gamma = 0.55 / 0.65 / 0.75","")</f>
        <v/>
      </c>
    </row>
    <row r="53" spans="8:34" x14ac:dyDescent="0.2">
      <c r="H53" s="98" t="str">
        <f ca="1">IF(LO_eng,"y-axis:","")</f>
        <v/>
      </c>
      <c r="I53" t="str">
        <f ca="1">IF(LO_eng,"Density, partial contrast (• •)","")</f>
        <v/>
      </c>
      <c r="AA53" s="24" t="s">
        <v>72</v>
      </c>
      <c r="AB53" s="95" t="str">
        <f>IF(german,"Unter-/Überbelichtung in EV-Stufen (Zeit- oder Blendenstufen),"&amp;CHAR(10)&amp;"gestrichelte Linien entsprechen Gammawerten 0,55 / 0,65 / 0,75","Under-/over-exposure in EV (steps of exposure time or aperture),"&amp;CHAR(10)&amp;"dashed lines (- - -) refer to values of gamma = 0.55 / 0.65 / 0.75")</f>
        <v>Unter-/Überbelichtung in EV-Stufen (Zeit- oder Blendenstufen),
gestrichelte Linien entsprechen Gammawerten 0,55 / 0,65 / 0,75</v>
      </c>
    </row>
    <row r="54" spans="8:34" ht="15" x14ac:dyDescent="0.2">
      <c r="I54" s="94"/>
      <c r="AA54" s="24" t="s">
        <v>73</v>
      </c>
      <c r="AB54" s="95" t="str">
        <f>IF(german,"Dichte, bzw. Partialkontrast (• •)","Density, partial contrast (• •)")</f>
        <v>Dichte, bzw. Partialkontrast (• •)</v>
      </c>
    </row>
    <row r="55" spans="8:34" x14ac:dyDescent="0.2">
      <c r="AA55" s="24" t="s">
        <v>86</v>
      </c>
      <c r="AB55" s="97" t="b">
        <v>1</v>
      </c>
      <c r="AF55" s="24" t="s">
        <v>74</v>
      </c>
      <c r="AG55" t="b">
        <f ca="1">IF(AND(LEN(AB56)&gt;16,NOT(german)),TRUE,FALSE)</f>
        <v>0</v>
      </c>
    </row>
    <row r="56" spans="8:34" x14ac:dyDescent="0.2">
      <c r="AA56" s="24" t="s">
        <v>85</v>
      </c>
      <c r="AB56" t="str">
        <f ca="1">INFO("VERSION")</f>
        <v>15.0</v>
      </c>
    </row>
    <row r="58" spans="8:34" x14ac:dyDescent="0.2">
      <c r="AB58" t="s">
        <v>38</v>
      </c>
    </row>
    <row r="59" spans="8:34" x14ac:dyDescent="0.2">
      <c r="AB59" s="44">
        <v>40015</v>
      </c>
      <c r="AC59" t="s">
        <v>39</v>
      </c>
    </row>
    <row r="60" spans="8:34" x14ac:dyDescent="0.2">
      <c r="AB60" s="44">
        <v>40022</v>
      </c>
      <c r="AC60" t="s">
        <v>40</v>
      </c>
      <c r="AD60" t="s">
        <v>41</v>
      </c>
    </row>
    <row r="61" spans="8:34" x14ac:dyDescent="0.2">
      <c r="AB61" s="44"/>
      <c r="AD61" t="s">
        <v>42</v>
      </c>
    </row>
    <row r="62" spans="8:34" x14ac:dyDescent="0.2">
      <c r="AB62" s="44">
        <v>40104</v>
      </c>
      <c r="AC62" t="s">
        <v>43</v>
      </c>
      <c r="AD62" t="s">
        <v>44</v>
      </c>
    </row>
    <row r="63" spans="8:34" x14ac:dyDescent="0.2">
      <c r="AB63" s="44">
        <v>39846</v>
      </c>
      <c r="AC63" t="s">
        <v>45</v>
      </c>
      <c r="AD63" t="s">
        <v>46</v>
      </c>
    </row>
    <row r="64" spans="8:34" x14ac:dyDescent="0.2">
      <c r="AB64" s="44">
        <v>40214</v>
      </c>
      <c r="AC64" t="s">
        <v>47</v>
      </c>
      <c r="AD64" t="s">
        <v>48</v>
      </c>
    </row>
    <row r="65" spans="28:30" x14ac:dyDescent="0.2">
      <c r="AB65" s="44">
        <v>40332</v>
      </c>
      <c r="AC65" t="s">
        <v>49</v>
      </c>
      <c r="AD65" t="s">
        <v>50</v>
      </c>
    </row>
    <row r="66" spans="28:30" x14ac:dyDescent="0.2">
      <c r="AB66" s="44">
        <v>40446</v>
      </c>
      <c r="AC66" t="s">
        <v>51</v>
      </c>
      <c r="AD66" t="s">
        <v>52</v>
      </c>
    </row>
    <row r="67" spans="28:30" x14ac:dyDescent="0.2">
      <c r="AB67" s="44">
        <v>41815</v>
      </c>
      <c r="AC67" t="s">
        <v>54</v>
      </c>
      <c r="AD67" t="s">
        <v>55</v>
      </c>
    </row>
    <row r="68" spans="28:30" x14ac:dyDescent="0.2">
      <c r="AB68" s="44">
        <v>44091</v>
      </c>
      <c r="AC68" t="s">
        <v>60</v>
      </c>
      <c r="AD68" t="s">
        <v>65</v>
      </c>
    </row>
    <row r="69" spans="28:30" x14ac:dyDescent="0.2">
      <c r="AB69" s="44">
        <v>44198</v>
      </c>
      <c r="AC69" t="s">
        <v>67</v>
      </c>
      <c r="AD69" t="s">
        <v>66</v>
      </c>
    </row>
    <row r="70" spans="28:30" x14ac:dyDescent="0.2">
      <c r="AB70" s="44">
        <v>44631</v>
      </c>
      <c r="AC70" t="s">
        <v>68</v>
      </c>
      <c r="AD70" t="s">
        <v>69</v>
      </c>
    </row>
    <row r="71" spans="28:30" x14ac:dyDescent="0.2">
      <c r="AB71" s="44">
        <v>44884</v>
      </c>
      <c r="AC71" t="s">
        <v>75</v>
      </c>
      <c r="AD71" t="s">
        <v>70</v>
      </c>
    </row>
    <row r="72" spans="28:30" x14ac:dyDescent="0.2">
      <c r="AB72" s="44">
        <v>44991</v>
      </c>
      <c r="AC72" t="s">
        <v>76</v>
      </c>
      <c r="AD72" t="s">
        <v>77</v>
      </c>
    </row>
    <row r="73" spans="28:30" x14ac:dyDescent="0.2">
      <c r="AB73" s="44">
        <v>45452</v>
      </c>
      <c r="AC73" t="s">
        <v>78</v>
      </c>
      <c r="AD73" t="s">
        <v>79</v>
      </c>
    </row>
    <row r="74" spans="28:30" x14ac:dyDescent="0.2">
      <c r="AB74" s="44">
        <v>45564</v>
      </c>
      <c r="AC74" t="s">
        <v>93</v>
      </c>
      <c r="AD74" t="s">
        <v>94</v>
      </c>
    </row>
    <row r="75" spans="28:30" x14ac:dyDescent="0.2">
      <c r="AD75" t="s">
        <v>91</v>
      </c>
    </row>
    <row r="76" spans="28:30" x14ac:dyDescent="0.2">
      <c r="AB76" s="44">
        <v>45577</v>
      </c>
      <c r="AC76" t="s">
        <v>109</v>
      </c>
      <c r="AD76" t="s">
        <v>110</v>
      </c>
    </row>
    <row r="77" spans="28:30" x14ac:dyDescent="0.2">
      <c r="AB77" s="44">
        <v>45771</v>
      </c>
      <c r="AC77" t="s">
        <v>135</v>
      </c>
      <c r="AD77" t="s">
        <v>136</v>
      </c>
    </row>
  </sheetData>
  <sheetProtection algorithmName="SHA-512" hashValue="MSW+XptzFZOn+/TM4l5zwp8dUNXeDiQUG54gNtVf3LCDc7CXgRwiNDFfetL5GmwAenGVFGH3Qaaee0u5gST8xw==" saltValue="ywcf2Kn1zJ2a7kepcZrOcg==" spinCount="100000" sheet="1" objects="1" scenarios="1"/>
  <mergeCells count="3">
    <mergeCell ref="I4:L4"/>
    <mergeCell ref="I1:L1"/>
    <mergeCell ref="I29:J29"/>
  </mergeCells>
  <conditionalFormatting sqref="B28:G28">
    <cfRule type="expression" dxfId="5" priority="7">
      <formula>(B$29=5)</formula>
    </cfRule>
  </conditionalFormatting>
  <conditionalFormatting sqref="H27:H29">
    <cfRule type="expression" dxfId="4" priority="6">
      <formula>MAX(B$29:G$29)=5</formula>
    </cfRule>
  </conditionalFormatting>
  <conditionalFormatting sqref="I42">
    <cfRule type="expression" dxfId="3" priority="8">
      <formula>(MOD($J$30,1)&gt;0)</formula>
    </cfRule>
  </conditionalFormatting>
  <conditionalFormatting sqref="J30">
    <cfRule type="expression" dxfId="2" priority="9">
      <formula>(MOD(2*$J$30,1)&gt;0)</formula>
    </cfRule>
  </conditionalFormatting>
  <conditionalFormatting sqref="B21:G21">
    <cfRule type="cellIs" dxfId="1" priority="1" stopIfTrue="1" operator="notBetween">
      <formula>-9</formula>
      <formula>6</formula>
    </cfRule>
  </conditionalFormatting>
  <conditionalFormatting sqref="B6:G6">
    <cfRule type="expression" dxfId="0" priority="2" stopIfTrue="1">
      <formula>ISERROR(AB27)</formula>
    </cfRule>
  </conditionalFormatting>
  <dataValidations count="4">
    <dataValidation type="list" allowBlank="1" showInputMessage="1" showErrorMessage="1" errorTitle="Filmempfindlichkeit" error="Gültigen ISO-Wert eingeben!" sqref="B3:G3">
      <formula1>$AI$3:$BP$3</formula1>
    </dataValidation>
    <dataValidation type="whole" operator="greaterThanOrEqual" allowBlank="1" showInputMessage="1" showErrorMessage="1" sqref="J31">
      <formula1>0</formula1>
    </dataValidation>
    <dataValidation type="whole" allowBlank="1" showErrorMessage="1" errorTitle="DIN-Korrektur / Speed offset" error="min. -9_x000a_max. +6" sqref="B21:G21">
      <formula1>-9</formula1>
      <formula2>6</formula2>
    </dataValidation>
    <dataValidation type="list" sqref="B1:G1">
      <formula1>$AM$22:$AX$22</formula1>
    </dataValidation>
  </dataValidations>
  <hyperlinks>
    <hyperlink ref="I1" r:id="rId1"/>
    <hyperlink ref="I4" r:id="rId2"/>
    <hyperlink ref="I4:L4" r:id="rId3" display="www.anzinger-online.de/Foto/filmtest.html"/>
  </hyperlinks>
  <pageMargins left="0.78740157480314965" right="0.19685039370078741" top="0.98425196850393704" bottom="0.98425196850393704" header="0.51181102362204722" footer="0.51181102362204722"/>
  <pageSetup paperSize="9" orientation="portrait" r:id="rId4"/>
  <headerFooter alignWithMargins="0"/>
  <drawing r:id="rId5"/>
  <legacyDrawing r:id="rId6"/>
  <controls>
    <mc:AlternateContent xmlns:mc="http://schemas.openxmlformats.org/markup-compatibility/2006">
      <mc:Choice Requires="x14">
        <control shapeId="1038" r:id="rId7" name="OptionButton1">
          <controlPr defaultSize="0" print="0" autoLine="0" autoPict="0" r:id="rId8">
            <anchor moveWithCells="1">
              <from>
                <xdr:col>7</xdr:col>
                <xdr:colOff>47625</xdr:colOff>
                <xdr:row>0</xdr:row>
                <xdr:rowOff>209550</xdr:rowOff>
              </from>
              <to>
                <xdr:col>7</xdr:col>
                <xdr:colOff>771525</xdr:colOff>
                <xdr:row>2</xdr:row>
                <xdr:rowOff>0</xdr:rowOff>
              </to>
            </anchor>
          </controlPr>
        </control>
      </mc:Choice>
      <mc:Fallback>
        <control shapeId="1038" r:id="rId7" name="OptionButton1"/>
      </mc:Fallback>
    </mc:AlternateContent>
    <mc:AlternateContent xmlns:mc="http://schemas.openxmlformats.org/markup-compatibility/2006">
      <mc:Choice Requires="x14">
        <control shapeId="1037" r:id="rId9" name="OptionLanguage1">
          <controlPr defaultSize="0" print="0" autoLine="0" linkedCell="$AB$55" r:id="rId10">
            <anchor moveWithCells="1">
              <from>
                <xdr:col>7</xdr:col>
                <xdr:colOff>47625</xdr:colOff>
                <xdr:row>0</xdr:row>
                <xdr:rowOff>0</xdr:rowOff>
              </from>
              <to>
                <xdr:col>7</xdr:col>
                <xdr:colOff>762000</xdr:colOff>
                <xdr:row>1</xdr:row>
                <xdr:rowOff>0</xdr:rowOff>
              </to>
            </anchor>
          </controlPr>
        </control>
      </mc:Choice>
      <mc:Fallback>
        <control shapeId="1037" r:id="rId9" name="OptionLangu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Filmtest</vt:lpstr>
      <vt:lpstr>Filmtest!Druckbereich</vt:lpstr>
      <vt:lpstr>german</vt:lpstr>
      <vt:lpstr>language</vt:lpstr>
      <vt:lpstr>LO_eng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Anzinger</dc:creator>
  <cp:lastModifiedBy>Dr. Manfred Anzinger</cp:lastModifiedBy>
  <cp:lastPrinted>2024-06-09T12:28:00Z</cp:lastPrinted>
  <dcterms:created xsi:type="dcterms:W3CDTF">2010-02-04T18:08:25Z</dcterms:created>
  <dcterms:modified xsi:type="dcterms:W3CDTF">2025-08-06T10:33:08Z</dcterms:modified>
</cp:coreProperties>
</file>