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fileSharing readOnlyRecommended="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Anzinger\Documents\HTML\download\"/>
    </mc:Choice>
  </mc:AlternateContent>
  <bookViews>
    <workbookView xWindow="-120" yWindow="-120" windowWidth="29040" windowHeight="17520"/>
  </bookViews>
  <sheets>
    <sheet name="Filmtest" sheetId="1" r:id="rId1"/>
  </sheets>
  <definedNames>
    <definedName name="_xlnm.Print_Area" localSheetId="0">Filmtest!$A$1:$G$55</definedName>
    <definedName name="german">Filmtest!$AB$50</definedName>
    <definedName name="language">Filmtest!$AB$50</definedName>
    <definedName name="LO_eng">Filmtest!$AG$51</definedName>
  </definedNames>
  <calcPr calcId="152511" iterateDelta="1E-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0" i="1" l="1"/>
  <c r="AD30" i="1"/>
  <c r="AE30" i="1"/>
  <c r="AF30" i="1"/>
  <c r="AG30" i="1"/>
  <c r="AC31" i="1"/>
  <c r="AD31" i="1"/>
  <c r="AE31" i="1"/>
  <c r="AF31" i="1"/>
  <c r="AG31" i="1"/>
  <c r="AC32" i="1"/>
  <c r="AD32" i="1"/>
  <c r="AE32" i="1"/>
  <c r="AF32" i="1"/>
  <c r="AG32" i="1"/>
  <c r="AC33" i="1"/>
  <c r="AD33" i="1"/>
  <c r="AE33" i="1"/>
  <c r="AF33" i="1"/>
  <c r="AG33" i="1"/>
  <c r="AC34" i="1"/>
  <c r="AD34" i="1"/>
  <c r="AE34" i="1"/>
  <c r="AF34" i="1"/>
  <c r="AG34" i="1"/>
  <c r="AC35" i="1"/>
  <c r="AD35" i="1"/>
  <c r="AE35" i="1"/>
  <c r="AF35" i="1"/>
  <c r="AG35" i="1"/>
  <c r="AC36" i="1"/>
  <c r="AD36" i="1"/>
  <c r="AE36" i="1"/>
  <c r="AF36" i="1"/>
  <c r="AG36" i="1"/>
  <c r="AC37" i="1"/>
  <c r="AD37" i="1"/>
  <c r="AE37" i="1"/>
  <c r="AF37" i="1"/>
  <c r="AG37" i="1"/>
  <c r="AC38" i="1"/>
  <c r="AD38" i="1"/>
  <c r="AE38" i="1"/>
  <c r="AF38" i="1"/>
  <c r="AG38" i="1"/>
  <c r="AC39" i="1"/>
  <c r="AD39" i="1"/>
  <c r="AE39" i="1"/>
  <c r="AF39" i="1"/>
  <c r="AG39" i="1"/>
  <c r="AC40" i="1"/>
  <c r="AD40" i="1"/>
  <c r="AE40" i="1"/>
  <c r="AF40" i="1"/>
  <c r="AG40" i="1"/>
  <c r="AC41" i="1"/>
  <c r="AD41" i="1"/>
  <c r="AE41" i="1"/>
  <c r="AF41" i="1"/>
  <c r="AG41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I12" i="1"/>
  <c r="AI13" i="1" s="1"/>
  <c r="AI14" i="1" s="1"/>
  <c r="AI15" i="1" s="1"/>
  <c r="AI16" i="1" s="1"/>
  <c r="AI17" i="1" s="1"/>
  <c r="AI18" i="1" s="1"/>
  <c r="AI19" i="1" s="1"/>
  <c r="AI11" i="1"/>
  <c r="AI10" i="1"/>
  <c r="AK12" i="1"/>
  <c r="AK13" i="1" s="1"/>
  <c r="AK14" i="1" s="1"/>
  <c r="AK15" i="1" s="1"/>
  <c r="AK16" i="1" s="1"/>
  <c r="AK17" i="1" s="1"/>
  <c r="AK18" i="1" s="1"/>
  <c r="AK19" i="1" s="1"/>
  <c r="AK11" i="1"/>
  <c r="AK10" i="1"/>
  <c r="AJ11" i="1"/>
  <c r="AJ12" i="1" s="1"/>
  <c r="AJ13" i="1" s="1"/>
  <c r="AJ14" i="1" s="1"/>
  <c r="AJ15" i="1" s="1"/>
  <c r="AJ16" i="1" s="1"/>
  <c r="AJ17" i="1" s="1"/>
  <c r="AJ18" i="1" s="1"/>
  <c r="AJ19" i="1" s="1"/>
  <c r="AJ10" i="1"/>
  <c r="I47" i="1"/>
  <c r="A23" i="1"/>
  <c r="I3" i="1"/>
  <c r="AB49" i="1"/>
  <c r="AB48" i="1"/>
  <c r="AB51" i="1"/>
  <c r="AG51" i="1" s="1"/>
  <c r="AC22" i="1"/>
  <c r="AD22" i="1"/>
  <c r="AE22" i="1"/>
  <c r="AF22" i="1"/>
  <c r="AG22" i="1"/>
  <c r="AB22" i="1"/>
  <c r="I52" i="1" l="1"/>
  <c r="I53" i="1"/>
  <c r="H51" i="1"/>
  <c r="H53" i="1"/>
  <c r="I50" i="1"/>
  <c r="I51" i="1"/>
  <c r="A3" i="1"/>
  <c r="I42" i="1"/>
  <c r="AE45" i="1" l="1"/>
  <c r="AF45" i="1"/>
  <c r="AG45" i="1"/>
  <c r="AB44" i="1"/>
  <c r="AE23" i="1"/>
  <c r="AF23" i="1"/>
  <c r="AG23" i="1"/>
  <c r="AE24" i="1"/>
  <c r="AF24" i="1"/>
  <c r="AG24" i="1"/>
  <c r="AB24" i="1"/>
  <c r="AB23" i="1"/>
  <c r="AC43" i="1"/>
  <c r="AD43" i="1"/>
  <c r="AE43" i="1"/>
  <c r="AF43" i="1"/>
  <c r="AG43" i="1"/>
  <c r="AB45" i="1"/>
  <c r="AB21" i="1"/>
  <c r="AB25" i="1" s="1"/>
  <c r="I45" i="1"/>
  <c r="I46" i="1"/>
  <c r="I44" i="1"/>
  <c r="J42" i="1"/>
  <c r="J33" i="1"/>
  <c r="I33" i="1"/>
  <c r="I30" i="1"/>
  <c r="K30" i="1"/>
  <c r="K31" i="1"/>
  <c r="K32" i="1"/>
  <c r="I29" i="1"/>
  <c r="I6" i="1"/>
  <c r="A6" i="1"/>
  <c r="A25" i="1"/>
  <c r="A24" i="1"/>
  <c r="A22" i="1"/>
  <c r="A21" i="1"/>
  <c r="A5" i="1"/>
  <c r="A4" i="1"/>
  <c r="A2" i="1"/>
  <c r="B1" i="1"/>
  <c r="A1" i="1"/>
  <c r="AG44" i="1" l="1"/>
  <c r="AF44" i="1"/>
  <c r="AE44" i="1"/>
  <c r="AC24" i="1"/>
  <c r="AC44" i="1"/>
  <c r="AD24" i="1"/>
  <c r="AD44" i="1"/>
  <c r="AC45" i="1"/>
  <c r="AC23" i="1"/>
  <c r="AD45" i="1"/>
  <c r="AD23" i="1"/>
  <c r="AB43" i="1"/>
  <c r="AB46" i="1"/>
  <c r="AG20" i="1" l="1"/>
  <c r="AF20" i="1"/>
  <c r="AE20" i="1"/>
  <c r="AD20" i="1"/>
  <c r="AC20" i="1"/>
  <c r="AB20" i="1"/>
  <c r="AG19" i="1"/>
  <c r="AF19" i="1"/>
  <c r="AE19" i="1"/>
  <c r="AD19" i="1"/>
  <c r="AC19" i="1"/>
  <c r="AB19" i="1"/>
  <c r="AG18" i="1"/>
  <c r="AF18" i="1"/>
  <c r="AE18" i="1"/>
  <c r="AD18" i="1"/>
  <c r="AC18" i="1"/>
  <c r="AB18" i="1"/>
  <c r="AG17" i="1"/>
  <c r="AF17" i="1"/>
  <c r="AE17" i="1"/>
  <c r="AD17" i="1"/>
  <c r="AC17" i="1"/>
  <c r="AB17" i="1"/>
  <c r="AG16" i="1"/>
  <c r="AF16" i="1"/>
  <c r="AE16" i="1"/>
  <c r="AD16" i="1"/>
  <c r="AC16" i="1"/>
  <c r="AB16" i="1"/>
  <c r="AG15" i="1"/>
  <c r="AF15" i="1"/>
  <c r="AE15" i="1"/>
  <c r="AD15" i="1"/>
  <c r="AC15" i="1"/>
  <c r="AB15" i="1"/>
  <c r="AG14" i="1"/>
  <c r="AF14" i="1"/>
  <c r="AE14" i="1"/>
  <c r="AD14" i="1"/>
  <c r="AC14" i="1"/>
  <c r="AB14" i="1"/>
  <c r="AG13" i="1"/>
  <c r="AF13" i="1"/>
  <c r="AE13" i="1"/>
  <c r="AD13" i="1"/>
  <c r="AC13" i="1"/>
  <c r="AB13" i="1"/>
  <c r="AG12" i="1"/>
  <c r="AF12" i="1"/>
  <c r="AE12" i="1"/>
  <c r="AD12" i="1"/>
  <c r="AC12" i="1"/>
  <c r="AB12" i="1"/>
  <c r="AG11" i="1"/>
  <c r="AF11" i="1"/>
  <c r="AE11" i="1"/>
  <c r="AD11" i="1"/>
  <c r="AC11" i="1"/>
  <c r="AB11" i="1"/>
  <c r="AG10" i="1"/>
  <c r="AF10" i="1"/>
  <c r="AE10" i="1"/>
  <c r="AD10" i="1"/>
  <c r="AC10" i="1"/>
  <c r="AB10" i="1"/>
  <c r="AG9" i="1"/>
  <c r="AF9" i="1"/>
  <c r="AE9" i="1"/>
  <c r="AD9" i="1"/>
  <c r="AC9" i="1"/>
  <c r="AB9" i="1"/>
  <c r="AG8" i="1"/>
  <c r="AF8" i="1"/>
  <c r="AE8" i="1"/>
  <c r="AD8" i="1"/>
  <c r="AC8" i="1"/>
  <c r="AB8" i="1"/>
  <c r="AG7" i="1"/>
  <c r="AF7" i="1"/>
  <c r="AE7" i="1"/>
  <c r="AD7" i="1"/>
  <c r="AC7" i="1"/>
  <c r="AB7" i="1"/>
  <c r="BF7" i="1" l="1"/>
  <c r="I31" i="1"/>
  <c r="J38" i="1" l="1"/>
  <c r="J34" i="1"/>
  <c r="J39" i="1"/>
  <c r="J37" i="1"/>
  <c r="J35" i="1"/>
  <c r="J40" i="1"/>
  <c r="J36" i="1"/>
  <c r="J41" i="1"/>
  <c r="AC21" i="1" l="1"/>
  <c r="AC25" i="1" s="1"/>
  <c r="AD21" i="1"/>
  <c r="AD25" i="1" s="1"/>
  <c r="AE21" i="1"/>
  <c r="AE25" i="1" s="1"/>
  <c r="AF21" i="1"/>
  <c r="AF25" i="1" s="1"/>
  <c r="AG21" i="1"/>
  <c r="AG25" i="1" s="1"/>
  <c r="AG46" i="1"/>
  <c r="B23" i="1" l="1"/>
  <c r="AB26" i="1" s="1"/>
  <c r="G23" i="1"/>
  <c r="AG26" i="1" s="1"/>
  <c r="AG2" i="1"/>
  <c r="AG3" i="1" s="1"/>
  <c r="G22" i="1" s="1"/>
  <c r="AF2" i="1"/>
  <c r="AF3" i="1" s="1"/>
  <c r="F22" i="1" s="1"/>
  <c r="AE2" i="1"/>
  <c r="AE3" i="1" s="1"/>
  <c r="E22" i="1" s="1"/>
  <c r="AD2" i="1"/>
  <c r="AD3" i="1" s="1"/>
  <c r="D22" i="1" s="1"/>
  <c r="AC2" i="1"/>
  <c r="AC3" i="1" s="1"/>
  <c r="C22" i="1" s="1"/>
  <c r="AB2" i="1"/>
  <c r="AB3" i="1" s="1"/>
  <c r="B22" i="1" s="1"/>
  <c r="AE46" i="1"/>
  <c r="AD46" i="1"/>
  <c r="AF46" i="1"/>
  <c r="AC46" i="1"/>
  <c r="E23" i="1" l="1"/>
  <c r="AE26" i="1" s="1"/>
  <c r="AE27" i="1" s="1"/>
  <c r="E25" i="1" s="1"/>
  <c r="F23" i="1"/>
  <c r="AF26" i="1" s="1"/>
  <c r="AF27" i="1" s="1"/>
  <c r="F25" i="1" s="1"/>
  <c r="C23" i="1"/>
  <c r="AC26" i="1" s="1"/>
  <c r="AC27" i="1" s="1"/>
  <c r="C25" i="1" s="1"/>
  <c r="D23" i="1"/>
  <c r="AD26" i="1" s="1"/>
  <c r="AD27" i="1" s="1"/>
  <c r="D25" i="1" s="1"/>
  <c r="AG27" i="1"/>
  <c r="G25" i="1" s="1"/>
  <c r="AB27" i="1"/>
  <c r="B25" i="1" l="1"/>
</calcChain>
</file>

<file path=xl/comments1.xml><?xml version="1.0" encoding="utf-8"?>
<comments xmlns="http://schemas.openxmlformats.org/spreadsheetml/2006/main">
  <authors>
    <author>Manfred Anzinger</author>
    <author>Anzinger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Beispiel 60/60/4x/20° bedeutet</t>
        </r>
        <r>
          <rPr>
            <sz val="9"/>
            <color indexed="81"/>
            <rFont val="Tahoma"/>
            <family val="2"/>
          </rPr>
          <t xml:space="preserve">:
60s Dauerkippen, dann
alle 60 Sek. 4x kippen,
Temperatur 20°
</t>
        </r>
        <r>
          <rPr>
            <b/>
            <sz val="9"/>
            <color indexed="81"/>
            <rFont val="Tahoma"/>
            <family val="2"/>
          </rPr>
          <t>Example 60/60/4x/20° means:</t>
        </r>
        <r>
          <rPr>
            <sz val="9"/>
            <color indexed="81"/>
            <rFont val="Tahoma"/>
            <family val="2"/>
          </rPr>
          <t xml:space="preserve">
continuous inversions for 60s,
then 4 inversions every 60s,
temperature 20°
</t>
        </r>
      </text>
    </comment>
    <comment ref="A21" authorId="1" shapeId="0">
      <text>
        <r>
          <rPr>
            <b/>
            <sz val="9"/>
            <color indexed="81"/>
            <rFont val="Tahoma"/>
            <family val="2"/>
          </rPr>
          <t xml:space="preserve">max. -9/+6
</t>
        </r>
        <r>
          <rPr>
            <sz val="9"/>
            <color indexed="81"/>
            <rFont val="Tahoma"/>
            <family val="2"/>
          </rPr>
          <t>Korrektur um 1 DIN entspricht horizontaler Verschiebung der Kurve um 1/3 Blendenstufe
Correction by 1 DIN corresponds to horizontal shift of the curve by 1/3 f-stop</t>
        </r>
      </text>
    </comment>
    <comment ref="A23" authorId="1" shapeId="0">
      <text>
        <r>
          <rPr>
            <b/>
            <sz val="9"/>
            <color indexed="81"/>
            <rFont val="Tahoma"/>
            <family val="2"/>
          </rPr>
          <t>Vorbelegung:</t>
        </r>
        <r>
          <rPr>
            <sz val="9"/>
            <color indexed="81"/>
            <rFont val="Tahoma"/>
            <family val="2"/>
          </rPr>
          <t xml:space="preserve">
Mittelwert des Detailkontrasts aus den Zonen IV-V-VI. Bei DIN-Korrektur wird der Bereich auch entsprechend verschoben.
</t>
        </r>
        <r>
          <rPr>
            <b/>
            <sz val="9"/>
            <color indexed="81"/>
            <rFont val="Tahoma"/>
            <family val="2"/>
          </rPr>
          <t>Preset:</t>
        </r>
        <r>
          <rPr>
            <sz val="9"/>
            <color indexed="81"/>
            <rFont val="Tahoma"/>
            <family val="2"/>
          </rPr>
          <t xml:space="preserve">
Average value of the detail contrast from zones IV-V-VI. With DIN correction, the range is also shifted accordingly.</t>
        </r>
      </text>
    </comment>
    <comment ref="A24" authorId="1" shapeId="0">
      <text>
        <r>
          <rPr>
            <b/>
            <sz val="9"/>
            <color indexed="81"/>
            <rFont val="Tahoma"/>
            <family val="2"/>
          </rPr>
          <t xml:space="preserve">Meine Empfehlung für Ilford MG V
0,55: </t>
        </r>
        <r>
          <rPr>
            <sz val="9"/>
            <color indexed="81"/>
            <rFont val="Tahoma"/>
            <family val="2"/>
          </rPr>
          <t xml:space="preserve">bei Messung mit Laborbelichtungsmesser
         auf dem Grundbrett (gilt für alle Vergrößererbauarten).
Für altes Ilford MG IV: gamma um etwa 0,10 höher!
Messungen mit einem Transmissions-Densitometer ca. 0,51, abhängig von dessen Bauart und Messgeometrie. Allgemeingültige Angaben sind hier schwierig.
</t>
        </r>
        <r>
          <rPr>
            <b/>
            <sz val="9"/>
            <color indexed="81"/>
            <rFont val="Tahoma"/>
            <family val="2"/>
          </rPr>
          <t>My recommendation for Ilford MG V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0.55</t>
        </r>
        <r>
          <rPr>
            <sz val="9"/>
            <color indexed="81"/>
            <rFont val="Tahoma"/>
            <family val="2"/>
          </rPr>
          <t>: when measuring with darkroom meter
         on the base board or easel (applies to all types of enlargers).
For old Ilford MG IV: increase gamma by 0.10!
Measurements with a transmission densitometer approx. 0.51, depending on its design and measuring geometry. It is difficult to make general statements here.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</rPr>
          <t>Nach Jost Marchesi</t>
        </r>
        <r>
          <rPr>
            <sz val="9"/>
            <color indexed="81"/>
            <rFont val="Tahoma"/>
            <family val="2"/>
          </rPr>
          <t xml:space="preserve">
für Entwickler ID-11.
Mehr Änderung mit Microphen, 
weniger mit Perceptol
</t>
        </r>
        <r>
          <rPr>
            <b/>
            <sz val="9"/>
            <color indexed="81"/>
            <rFont val="Tahoma"/>
            <family val="2"/>
          </rPr>
          <t>According to J. Marchesi</t>
        </r>
        <r>
          <rPr>
            <sz val="9"/>
            <color indexed="81"/>
            <rFont val="Tahoma"/>
            <family val="2"/>
          </rPr>
          <t xml:space="preserve">
with deloper ID-11 or D-76.
More change of time with Microphen,
less with Perceptol</t>
        </r>
      </text>
    </comment>
    <comment ref="B26" authorId="1" shapeId="0">
      <text>
        <r>
          <rPr>
            <b/>
            <sz val="9"/>
            <color indexed="81"/>
            <rFont val="Tahoma"/>
            <family val="2"/>
          </rPr>
          <t>Diese Kurve abschalten:</t>
        </r>
        <r>
          <rPr>
            <sz val="9"/>
            <color indexed="81"/>
            <rFont val="Tahoma"/>
            <family val="2"/>
          </rPr>
          <t xml:space="preserve">
wenn das letzte Zeichen dieser Textzelle ein Punkt "." ist
</t>
        </r>
        <r>
          <rPr>
            <b/>
            <sz val="9"/>
            <color indexed="81"/>
            <rFont val="Tahoma"/>
            <family val="2"/>
          </rPr>
          <t>Switch off this curve:</t>
        </r>
        <r>
          <rPr>
            <sz val="9"/>
            <color indexed="81"/>
            <rFont val="Tahoma"/>
            <family val="2"/>
          </rPr>
          <t xml:space="preserve">
if the last character of this text cell is a full-stop "."</t>
        </r>
      </text>
    </comment>
    <comment ref="J30" authorId="0" shapeId="0">
      <text>
        <r>
          <rPr>
            <sz val="9"/>
            <color indexed="81"/>
            <rFont val="Tahoma"/>
            <family val="2"/>
          </rPr>
          <t>Helligkeit z.B. mit Jalousie so einstellen, dass die Blendenrastung auf ganze oder halbe Stufen eingestellt werden kann.
Adjust brightness, e.g. with window blinds, so that the f-stop detent can be set to whole or half steps.</t>
        </r>
      </text>
    </comment>
    <comment ref="J31" authorId="0" shapeId="0">
      <text>
        <r>
          <rPr>
            <sz val="9"/>
            <color indexed="81"/>
            <rFont val="Tahoma"/>
            <family val="2"/>
          </rPr>
          <t>Bei Beginn der Belichtungsreihe in Zone I 
hier eine 1 eintragen und für diese erste
Testaufnahme eine geeignete Zeit-/
Blendenkombination aus der Tabelle auswählen.
Für alle weiteren Aufnahmen die Belichtung
um eine Zeit- oder Blendenstufe erhöhen.
When starting the exposure series in zone I 
enter a 1 here and for this first test exposure
select a suitable time/aperture
combination from the table.
For all further exposures, increase the exposure
by one time or aperture stop.</t>
        </r>
      </text>
    </comment>
  </commentList>
</comments>
</file>

<file path=xl/sharedStrings.xml><?xml version="1.0" encoding="utf-8"?>
<sst xmlns="http://schemas.openxmlformats.org/spreadsheetml/2006/main" count="90" uniqueCount="90">
  <si>
    <t>hier nur Daten mit Korrekturwert für Graphik, nichts ändern!</t>
  </si>
  <si>
    <t>Gamma =</t>
  </si>
  <si>
    <t>-6 DIN</t>
  </si>
  <si>
    <t>-5 DIN</t>
  </si>
  <si>
    <t>-4 DIN</t>
  </si>
  <si>
    <t>-3 DIN</t>
  </si>
  <si>
    <t>-2 DIN</t>
  </si>
  <si>
    <t>-1 DIN</t>
  </si>
  <si>
    <t>Nennbelicht.</t>
  </si>
  <si>
    <t>+1 DIN</t>
  </si>
  <si>
    <t>+2 DIN</t>
  </si>
  <si>
    <t>+3 DIN</t>
  </si>
  <si>
    <t>zu Test 1</t>
  </si>
  <si>
    <t>zu Test 2</t>
  </si>
  <si>
    <t>zu Test 3</t>
  </si>
  <si>
    <t>zu Test 4</t>
  </si>
  <si>
    <t>zu Test 5</t>
  </si>
  <si>
    <t>zu Test 6</t>
  </si>
  <si>
    <t>Zone 0   -5</t>
  </si>
  <si>
    <t>Zone 0</t>
  </si>
  <si>
    <t>I   -4</t>
  </si>
  <si>
    <t>I</t>
  </si>
  <si>
    <t>II</t>
  </si>
  <si>
    <t>III</t>
  </si>
  <si>
    <t>IV</t>
  </si>
  <si>
    <r>
      <t xml:space="preserve">V   </t>
    </r>
    <r>
      <rPr>
        <sz val="10"/>
        <rFont val="Arial"/>
        <family val="2"/>
      </rPr>
      <t>±0</t>
    </r>
  </si>
  <si>
    <t>V</t>
  </si>
  <si>
    <t>VI  +1</t>
  </si>
  <si>
    <t>VI</t>
  </si>
  <si>
    <t>VII  +2</t>
  </si>
  <si>
    <t>VII</t>
  </si>
  <si>
    <t>VIII  +3</t>
  </si>
  <si>
    <t>VIII</t>
  </si>
  <si>
    <t>IX  +4</t>
  </si>
  <si>
    <t>IX</t>
  </si>
  <si>
    <t>Zone X</t>
  </si>
  <si>
    <t xml:space="preserve">      +6</t>
  </si>
  <si>
    <t xml:space="preserve">      +7</t>
  </si>
  <si>
    <t xml:space="preserve">      +8</t>
  </si>
  <si>
    <t>Versions-Historie:</t>
  </si>
  <si>
    <t>Version 1.0</t>
  </si>
  <si>
    <t>Version 1.1</t>
  </si>
  <si>
    <t>Bereich der Gamma-Berechnung wird bei DIN-Korrektur automatisch angepasst.</t>
  </si>
  <si>
    <t>neue Entwicklungszeitempfehlung wird ausgegeben</t>
  </si>
  <si>
    <t>Version 1.2</t>
  </si>
  <si>
    <t>Detailkontrast als Punktgraphik dazugefügt</t>
  </si>
  <si>
    <t>Version 1.3</t>
  </si>
  <si>
    <t>Mit einem . (Punkt) in Zelle B$26 kann die Graphik für diesen Test ausgeblendet werden.</t>
  </si>
  <si>
    <t>Version 1.4</t>
  </si>
  <si>
    <t>neue Entwicklungszeitempfehlung nach eigenen Erfahrungen mit Xtol</t>
  </si>
  <si>
    <t>Version 1.5</t>
  </si>
  <si>
    <t>gestrichelte Linien gelten jetzt für gamma 0,55 / 0,65 / 0,70</t>
  </si>
  <si>
    <t>Version 1.5b</t>
  </si>
  <si>
    <t>gestrichelte Linien gelten jetzt für gamma 0,55 / 0,65 / 0,75</t>
  </si>
  <si>
    <t>Xtol 1+1</t>
  </si>
  <si>
    <t>Kommentare</t>
  </si>
  <si>
    <t>Zone V</t>
  </si>
  <si>
    <t>Version 1.6</t>
  </si>
  <si>
    <t>bessere Mittelwertbildung für gamma, geringerer Einfluss einzelner Messabweichungen</t>
  </si>
  <si>
    <t>II   -3</t>
  </si>
  <si>
    <t>III   -2</t>
  </si>
  <si>
    <t>IV   -1</t>
  </si>
  <si>
    <t>X  +5</t>
  </si>
  <si>
    <t>hier Daten zum Partialkontrast für die obigen Tests</t>
  </si>
  <si>
    <t>60/60/4x/20°</t>
  </si>
  <si>
    <t>Version 1.7</t>
  </si>
  <si>
    <t>www.anzinger-online.de/Foto</t>
  </si>
  <si>
    <t>www.anzinger-online.de/Foto/filmtest.html</t>
  </si>
  <si>
    <t>10:15</t>
  </si>
  <si>
    <t>Zone</t>
  </si>
  <si>
    <t>Beli-Zeit</t>
  </si>
  <si>
    <t>Achsenbeschriftung geändert: log.Dichte -&gt; Dichte (=log 1/T); Formatkontrolle bei Zeiteingabe</t>
  </si>
  <si>
    <t>neue Formel: Entwicklungszeit-Schätzung mit e-Funktion</t>
  </si>
  <si>
    <t>Version 1.8</t>
  </si>
  <si>
    <t>Version 1.9</t>
  </si>
  <si>
    <t>Eingabekontrolle für ISO-Empfindlichkeit dazugefügt</t>
  </si>
  <si>
    <t>Wahlweise deutsch/englisch</t>
  </si>
  <si>
    <t>offset</t>
  </si>
  <si>
    <t>gamma</t>
  </si>
  <si>
    <t>german?</t>
  </si>
  <si>
    <t>Version?</t>
  </si>
  <si>
    <t>x-axis</t>
  </si>
  <si>
    <t>y-axis</t>
  </si>
  <si>
    <t>LibreOffice engl.?</t>
  </si>
  <si>
    <t>Platz für</t>
  </si>
  <si>
    <t>Version 2.0</t>
  </si>
  <si>
    <t>Filmtest.xlsx, Vers. 2.1</t>
  </si>
  <si>
    <t>© 2023 Dr. M. Anzinger</t>
  </si>
  <si>
    <t>Version 2.1</t>
  </si>
  <si>
    <t>Partialkontrast am Anf. und Ende der Dichtekurve erweitert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</si>
</sst>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sz val="11.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5D9F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" fillId="0" borderId="0"/>
  </cellStyleXfs>
  <cellXfs count="114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Protection="1">
      <protection locked="0"/>
    </xf>
    <xf numFmtId="0" fontId="1" fillId="0" borderId="1" xfId="0" applyFont="1" applyBorder="1" applyAlignment="1">
      <alignment horizontal="right"/>
    </xf>
    <xf numFmtId="14" fontId="0" fillId="0" borderId="3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1" fillId="0" borderId="5" xfId="0" applyFont="1" applyBorder="1" applyAlignment="1">
      <alignment horizontal="right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right"/>
    </xf>
    <xf numFmtId="0" fontId="1" fillId="0" borderId="15" xfId="0" applyFont="1" applyBorder="1" applyAlignment="1">
      <alignment horizontal="right"/>
    </xf>
    <xf numFmtId="2" fontId="0" fillId="0" borderId="16" xfId="0" applyNumberFormat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5" xfId="0" applyBorder="1" applyAlignment="1">
      <alignment horizontal="right"/>
    </xf>
    <xf numFmtId="2" fontId="0" fillId="0" borderId="18" xfId="0" applyNumberFormat="1" applyBorder="1" applyAlignment="1" applyProtection="1">
      <alignment horizontal="center"/>
      <protection locked="0"/>
    </xf>
    <xf numFmtId="2" fontId="0" fillId="0" borderId="19" xfId="0" applyNumberForma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0" fontId="0" fillId="0" borderId="5" xfId="0" quotePrefix="1" applyBorder="1" applyAlignment="1">
      <alignment horizontal="right"/>
    </xf>
    <xf numFmtId="2" fontId="0" fillId="0" borderId="9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 horizontal="center"/>
      <protection locked="0"/>
    </xf>
    <xf numFmtId="0" fontId="0" fillId="0" borderId="21" xfId="0" applyBorder="1" applyAlignment="1">
      <alignment horizontal="right"/>
    </xf>
    <xf numFmtId="1" fontId="0" fillId="0" borderId="22" xfId="0" applyNumberForma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23" xfId="0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25" xfId="0" applyBorder="1" applyAlignment="1">
      <alignment horizontal="right"/>
    </xf>
    <xf numFmtId="2" fontId="5" fillId="2" borderId="9" xfId="0" applyNumberFormat="1" applyFont="1" applyFill="1" applyBorder="1" applyAlignment="1">
      <alignment horizontal="center"/>
    </xf>
    <xf numFmtId="2" fontId="5" fillId="3" borderId="9" xfId="0" applyNumberFormat="1" applyFont="1" applyFill="1" applyBorder="1" applyAlignment="1">
      <alignment horizontal="center"/>
    </xf>
    <xf numFmtId="2" fontId="5" fillId="4" borderId="10" xfId="0" applyNumberFormat="1" applyFont="1" applyFill="1" applyBorder="1" applyAlignment="1">
      <alignment horizontal="center"/>
    </xf>
    <xf numFmtId="2" fontId="0" fillId="5" borderId="10" xfId="0" applyNumberFormat="1" applyFill="1" applyBorder="1" applyAlignment="1">
      <alignment horizontal="center"/>
    </xf>
    <xf numFmtId="2" fontId="0" fillId="6" borderId="10" xfId="0" applyNumberFormat="1" applyFill="1" applyBorder="1" applyAlignment="1">
      <alignment horizontal="center"/>
    </xf>
    <xf numFmtId="2" fontId="0" fillId="7" borderId="11" xfId="0" applyNumberFormat="1" applyFill="1" applyBorder="1" applyAlignment="1">
      <alignment horizontal="center"/>
    </xf>
    <xf numFmtId="0" fontId="0" fillId="0" borderId="26" xfId="0" applyBorder="1" applyAlignment="1">
      <alignment horizontal="right"/>
    </xf>
    <xf numFmtId="2" fontId="0" fillId="0" borderId="22" xfId="0" applyNumberFormat="1" applyBorder="1" applyAlignment="1" applyProtection="1">
      <alignment horizontal="center"/>
      <protection locked="0"/>
    </xf>
    <xf numFmtId="2" fontId="0" fillId="0" borderId="2" xfId="0" applyNumberFormat="1" applyBorder="1" applyAlignment="1" applyProtection="1">
      <alignment horizontal="center"/>
      <protection locked="0"/>
    </xf>
    <xf numFmtId="2" fontId="0" fillId="0" borderId="27" xfId="0" applyNumberFormat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0" xfId="0" applyNumberFormat="1"/>
    <xf numFmtId="0" fontId="2" fillId="0" borderId="0" xfId="0" applyFont="1"/>
    <xf numFmtId="0" fontId="1" fillId="8" borderId="5" xfId="0" applyFont="1" applyFill="1" applyBorder="1" applyAlignment="1">
      <alignment horizontal="right"/>
    </xf>
    <xf numFmtId="2" fontId="0" fillId="8" borderId="18" xfId="0" applyNumberFormat="1" applyFill="1" applyBorder="1" applyAlignment="1" applyProtection="1">
      <alignment horizontal="center"/>
      <protection locked="0"/>
    </xf>
    <xf numFmtId="2" fontId="0" fillId="8" borderId="19" xfId="0" applyNumberFormat="1" applyFill="1" applyBorder="1" applyAlignment="1" applyProtection="1">
      <alignment horizontal="center"/>
      <protection locked="0"/>
    </xf>
    <xf numFmtId="14" fontId="0" fillId="0" borderId="22" xfId="0" applyNumberForma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2" fontId="0" fillId="0" borderId="7" xfId="0" applyNumberFormat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49" fontId="0" fillId="0" borderId="28" xfId="0" applyNumberFormat="1" applyBorder="1" applyAlignment="1" applyProtection="1">
      <alignment horizontal="center"/>
      <protection locked="0"/>
    </xf>
    <xf numFmtId="49" fontId="0" fillId="0" borderId="35" xfId="0" applyNumberFormat="1" applyBorder="1" applyAlignment="1" applyProtection="1">
      <alignment horizontal="center"/>
      <protection locked="0"/>
    </xf>
    <xf numFmtId="49" fontId="0" fillId="0" borderId="36" xfId="0" applyNumberFormat="1" applyBorder="1" applyAlignment="1" applyProtection="1">
      <alignment horizontal="center"/>
      <protection locked="0"/>
    </xf>
    <xf numFmtId="49" fontId="0" fillId="0" borderId="29" xfId="0" applyNumberFormat="1" applyBorder="1" applyAlignment="1" applyProtection="1">
      <alignment horizontal="center"/>
      <protection locked="0"/>
    </xf>
    <xf numFmtId="49" fontId="0" fillId="0" borderId="30" xfId="0" applyNumberFormat="1" applyBorder="1" applyAlignment="1" applyProtection="1">
      <alignment horizontal="center"/>
      <protection locked="0"/>
    </xf>
    <xf numFmtId="49" fontId="0" fillId="0" borderId="31" xfId="0" applyNumberFormat="1" applyBorder="1" applyAlignment="1" applyProtection="1">
      <alignment horizontal="center"/>
      <protection locked="0"/>
    </xf>
    <xf numFmtId="49" fontId="0" fillId="0" borderId="32" xfId="0" applyNumberFormat="1" applyBorder="1" applyAlignment="1" applyProtection="1">
      <alignment horizontal="center"/>
      <protection locked="0"/>
    </xf>
    <xf numFmtId="49" fontId="0" fillId="0" borderId="33" xfId="0" applyNumberFormat="1" applyBorder="1" applyAlignment="1" applyProtection="1">
      <alignment horizontal="center"/>
      <protection locked="0"/>
    </xf>
    <xf numFmtId="49" fontId="0" fillId="0" borderId="34" xfId="0" applyNumberFormat="1" applyBorder="1" applyAlignment="1" applyProtection="1">
      <alignment horizontal="center"/>
      <protection locked="0"/>
    </xf>
    <xf numFmtId="0" fontId="0" fillId="0" borderId="8" xfId="0" applyBorder="1" applyAlignment="1">
      <alignment horizontal="right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0" xfId="0" applyProtection="1">
      <protection locked="0"/>
    </xf>
    <xf numFmtId="0" fontId="0" fillId="0" borderId="40" xfId="0" applyBorder="1" applyProtection="1">
      <protection locked="0"/>
    </xf>
    <xf numFmtId="2" fontId="0" fillId="0" borderId="39" xfId="0" applyNumberFormat="1" applyBorder="1" applyProtection="1">
      <protection locked="0"/>
    </xf>
    <xf numFmtId="2" fontId="0" fillId="0" borderId="0" xfId="0" applyNumberFormat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39" xfId="0" applyBorder="1"/>
    <xf numFmtId="0" fontId="0" fillId="0" borderId="0" xfId="0" applyAlignment="1" applyProtection="1">
      <alignment horizontal="right"/>
      <protection locked="0"/>
    </xf>
    <xf numFmtId="0" fontId="0" fillId="0" borderId="38" xfId="0" applyBorder="1"/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4" xfId="0" applyBorder="1" applyAlignment="1">
      <alignment horizontal="right"/>
    </xf>
    <xf numFmtId="0" fontId="0" fillId="0" borderId="6" xfId="0" applyBorder="1" applyAlignment="1">
      <alignment horizontal="right"/>
    </xf>
    <xf numFmtId="2" fontId="1" fillId="0" borderId="18" xfId="2" applyNumberFormat="1" applyBorder="1" applyAlignment="1" applyProtection="1">
      <alignment horizontal="center"/>
      <protection locked="0"/>
    </xf>
    <xf numFmtId="2" fontId="1" fillId="0" borderId="6" xfId="2" applyNumberFormat="1" applyBorder="1" applyAlignment="1" applyProtection="1">
      <alignment horizontal="center"/>
      <protection locked="0"/>
    </xf>
    <xf numFmtId="2" fontId="1" fillId="8" borderId="6" xfId="2" applyNumberFormat="1" applyFill="1" applyBorder="1" applyAlignment="1" applyProtection="1">
      <alignment horizontal="center"/>
      <protection locked="0"/>
    </xf>
    <xf numFmtId="0" fontId="0" fillId="9" borderId="16" xfId="0" applyFill="1" applyBorder="1" applyAlignment="1">
      <alignment horizontal="left"/>
    </xf>
    <xf numFmtId="164" fontId="0" fillId="10" borderId="6" xfId="0" applyNumberFormat="1" applyFill="1" applyBorder="1" applyAlignment="1" applyProtection="1">
      <alignment horizontal="center"/>
      <protection locked="0"/>
    </xf>
    <xf numFmtId="0" fontId="0" fillId="10" borderId="44" xfId="0" applyFill="1" applyBorder="1" applyAlignment="1" applyProtection="1">
      <alignment horizontal="center"/>
      <protection locked="0"/>
    </xf>
    <xf numFmtId="0" fontId="0" fillId="9" borderId="41" xfId="0" applyFill="1" applyBorder="1" applyAlignment="1">
      <alignment horizontal="right"/>
    </xf>
    <xf numFmtId="0" fontId="0" fillId="8" borderId="0" xfId="0" applyFill="1" applyAlignment="1">
      <alignment horizontal="right"/>
    </xf>
    <xf numFmtId="2" fontId="0" fillId="8" borderId="0" xfId="0" applyNumberFormat="1" applyFill="1"/>
    <xf numFmtId="0" fontId="0" fillId="8" borderId="0" xfId="0" applyFill="1"/>
    <xf numFmtId="0" fontId="0" fillId="8" borderId="0" xfId="0" applyFill="1" applyAlignment="1">
      <alignment horizontal="center"/>
    </xf>
    <xf numFmtId="0" fontId="8" fillId="0" borderId="0" xfId="0" applyFont="1" applyAlignment="1">
      <alignment horizontal="left" vertical="center" readingOrder="1"/>
    </xf>
    <xf numFmtId="0" fontId="9" fillId="0" borderId="0" xfId="0" applyFont="1" applyAlignment="1">
      <alignment horizontal="left" vertical="center" readingOrder="1"/>
    </xf>
    <xf numFmtId="0" fontId="10" fillId="0" borderId="0" xfId="0" applyFont="1"/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0" fillId="11" borderId="0" xfId="0" applyFill="1"/>
    <xf numFmtId="0" fontId="6" fillId="0" borderId="0" xfId="1" applyProtection="1">
      <protection locked="0"/>
    </xf>
    <xf numFmtId="0" fontId="7" fillId="0" borderId="0" xfId="1" applyFont="1" applyAlignment="1" applyProtection="1">
      <alignment horizontal="left"/>
      <protection locked="0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3">
    <cellStyle name="Link" xfId="1" builtinId="8"/>
    <cellStyle name="Standard" xfId="0" builtinId="0"/>
    <cellStyle name="Standard 2" xfId="2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51828298887141"/>
          <c:y val="2.8017241379310404E-2"/>
          <c:w val="0.87122416534181235"/>
          <c:h val="0.78879310344827724"/>
        </c:manualLayout>
      </c:layout>
      <c:scatterChart>
        <c:scatterStyle val="lineMarker"/>
        <c:varyColors val="0"/>
        <c:ser>
          <c:idx val="5"/>
          <c:order val="0"/>
          <c:tx>
            <c:v>Gamma 0,54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Filmtest!$AW$8:$AW$19</c:f>
              <c:numCache>
                <c:formatCode>General</c:formatCode>
                <c:ptCount val="12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</c:numCache>
            </c:numRef>
          </c:xVal>
          <c:yVal>
            <c:numRef>
              <c:f>Filmtest!$AI$8:$AI$19</c:f>
              <c:numCache>
                <c:formatCode>General</c:formatCode>
                <c:ptCount val="12"/>
                <c:pt idx="2">
                  <c:v>0.36556649761518967</c:v>
                </c:pt>
                <c:pt idx="3">
                  <c:v>0.53113299523037938</c:v>
                </c:pt>
                <c:pt idx="4">
                  <c:v>0.69669949284556909</c:v>
                </c:pt>
                <c:pt idx="5">
                  <c:v>0.8622659904607588</c:v>
                </c:pt>
                <c:pt idx="6">
                  <c:v>1.0278324880759484</c:v>
                </c:pt>
                <c:pt idx="7">
                  <c:v>1.193398985691138</c:v>
                </c:pt>
                <c:pt idx="8">
                  <c:v>1.3589654833063276</c:v>
                </c:pt>
                <c:pt idx="9">
                  <c:v>1.5245319809215172</c:v>
                </c:pt>
                <c:pt idx="10">
                  <c:v>1.6900984785367068</c:v>
                </c:pt>
                <c:pt idx="11">
                  <c:v>1.8556649761518964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17E-444B-A448-8B3FAC322978}"/>
            </c:ext>
          </c:extLst>
        </c:ser>
        <c:ser>
          <c:idx val="0"/>
          <c:order val="1"/>
          <c:tx>
            <c:v>Gamma 0,60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Filmtest!$AW$8:$AW$19</c:f>
              <c:numCache>
                <c:formatCode>General</c:formatCode>
                <c:ptCount val="12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</c:numCache>
            </c:numRef>
          </c:xVal>
          <c:yVal>
            <c:numRef>
              <c:f>Filmtest!$AJ$8:$AJ$19</c:f>
              <c:numCache>
                <c:formatCode>General</c:formatCode>
                <c:ptCount val="12"/>
                <c:pt idx="0">
                  <c:v>0.1</c:v>
                </c:pt>
                <c:pt idx="1">
                  <c:v>0.2</c:v>
                </c:pt>
                <c:pt idx="2">
                  <c:v>0.39566949718158784</c:v>
                </c:pt>
                <c:pt idx="3">
                  <c:v>0.59133899436317561</c:v>
                </c:pt>
                <c:pt idx="4">
                  <c:v>0.78700849154476338</c:v>
                </c:pt>
                <c:pt idx="5">
                  <c:v>0.98267798872635115</c:v>
                </c:pt>
                <c:pt idx="6">
                  <c:v>1.178347485907939</c:v>
                </c:pt>
                <c:pt idx="7">
                  <c:v>1.3740169830895268</c:v>
                </c:pt>
                <c:pt idx="8">
                  <c:v>1.5696864802711146</c:v>
                </c:pt>
                <c:pt idx="9">
                  <c:v>1.7653559774527023</c:v>
                </c:pt>
                <c:pt idx="10">
                  <c:v>1.9610254746342901</c:v>
                </c:pt>
                <c:pt idx="11">
                  <c:v>2.1566949718158779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7E-444B-A448-8B3FAC322978}"/>
            </c:ext>
          </c:extLst>
        </c:ser>
        <c:ser>
          <c:idx val="1"/>
          <c:order val="2"/>
          <c:tx>
            <c:v>Gamma 0,66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Filmtest!$AW$8:$AW$19</c:f>
              <c:numCache>
                <c:formatCode>General</c:formatCode>
                <c:ptCount val="12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</c:numCache>
            </c:numRef>
          </c:xVal>
          <c:yVal>
            <c:numRef>
              <c:f>Filmtest!$AK$8:$AK$19</c:f>
              <c:numCache>
                <c:formatCode>General</c:formatCode>
                <c:ptCount val="12"/>
                <c:pt idx="2">
                  <c:v>0.4257724967479859</c:v>
                </c:pt>
                <c:pt idx="3">
                  <c:v>0.65154499349597184</c:v>
                </c:pt>
                <c:pt idx="4">
                  <c:v>0.87731749024395778</c:v>
                </c:pt>
                <c:pt idx="5">
                  <c:v>1.1030899869919437</c:v>
                </c:pt>
                <c:pt idx="6">
                  <c:v>1.3288624837399297</c:v>
                </c:pt>
                <c:pt idx="7">
                  <c:v>1.5546349804879156</c:v>
                </c:pt>
                <c:pt idx="8">
                  <c:v>1.7804074772359015</c:v>
                </c:pt>
                <c:pt idx="9">
                  <c:v>2.0061799739838873</c:v>
                </c:pt>
                <c:pt idx="10">
                  <c:v>2.2319524707318732</c:v>
                </c:pt>
                <c:pt idx="11">
                  <c:v>2.4577249674798591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17E-444B-A448-8B3FAC322978}"/>
            </c:ext>
          </c:extLst>
        </c:ser>
        <c:ser>
          <c:idx val="9"/>
          <c:order val="9"/>
          <c:tx>
            <c:v>Test1G</c:v>
          </c:tx>
          <c:spPr>
            <a:ln>
              <a:noFill/>
            </a:ln>
          </c:spPr>
          <c:marker>
            <c:symbol val="squar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Filmtest!$AB$8:$AB$19</c:f>
              <c:numCache>
                <c:formatCode>0.00</c:formatCode>
                <c:ptCount val="12"/>
                <c:pt idx="0">
                  <c:v>-4.67</c:v>
                </c:pt>
                <c:pt idx="1">
                  <c:v>-3.67</c:v>
                </c:pt>
                <c:pt idx="2">
                  <c:v>-2.67</c:v>
                </c:pt>
                <c:pt idx="3">
                  <c:v>-1.67</c:v>
                </c:pt>
                <c:pt idx="4">
                  <c:v>-0.67</c:v>
                </c:pt>
                <c:pt idx="5">
                  <c:v>0.33</c:v>
                </c:pt>
                <c:pt idx="6">
                  <c:v>1.33</c:v>
                </c:pt>
                <c:pt idx="7">
                  <c:v>2.33</c:v>
                </c:pt>
                <c:pt idx="8">
                  <c:v>3.33</c:v>
                </c:pt>
                <c:pt idx="9">
                  <c:v>4.33</c:v>
                </c:pt>
                <c:pt idx="10">
                  <c:v>5.33</c:v>
                </c:pt>
                <c:pt idx="11">
                  <c:v>6.33</c:v>
                </c:pt>
              </c:numCache>
            </c:numRef>
          </c:xVal>
          <c:yVal>
            <c:numRef>
              <c:f>Filmtest!$AB$30:$AB$41</c:f>
              <c:numCache>
                <c:formatCode>General</c:formatCode>
                <c:ptCount val="12"/>
                <c:pt idx="0">
                  <c:v>0.2</c:v>
                </c:pt>
                <c:pt idx="1">
                  <c:v>0.33333333333333337</c:v>
                </c:pt>
                <c:pt idx="2">
                  <c:v>0.53333333333333333</c:v>
                </c:pt>
                <c:pt idx="3">
                  <c:v>0.65</c:v>
                </c:pt>
                <c:pt idx="4">
                  <c:v>0.64999999999999991</c:v>
                </c:pt>
                <c:pt idx="5">
                  <c:v>0.65</c:v>
                </c:pt>
                <c:pt idx="6">
                  <c:v>0.65</c:v>
                </c:pt>
                <c:pt idx="7">
                  <c:v>0.63333333333333319</c:v>
                </c:pt>
                <c:pt idx="8">
                  <c:v>0.56666666666666687</c:v>
                </c:pt>
                <c:pt idx="9">
                  <c:v>0.50000000000000011</c:v>
                </c:pt>
                <c:pt idx="10">
                  <c:v>0.46666666666666673</c:v>
                </c:pt>
                <c:pt idx="11">
                  <c:v>0.46666666666666712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17E-444B-A448-8B3FAC322978}"/>
            </c:ext>
          </c:extLst>
        </c:ser>
        <c:ser>
          <c:idx val="10"/>
          <c:order val="10"/>
          <c:tx>
            <c:v>Test2G</c:v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Filmtest!$AC$8:$AC$19</c:f>
              <c:numCache>
                <c:formatCode>0.00</c:formatCode>
                <c:ptCount val="12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</c:numCache>
            </c:numRef>
          </c:xVal>
          <c:yVal>
            <c:numRef>
              <c:f>Filmtest!$AC$30:$AC$41</c:f>
              <c:numCache>
                <c:formatCode>General</c:formatCode>
                <c:ptCount val="12"/>
                <c:pt idx="0">
                  <c:v>-99</c:v>
                </c:pt>
                <c:pt idx="1">
                  <c:v>-99</c:v>
                </c:pt>
                <c:pt idx="2">
                  <c:v>-99</c:v>
                </c:pt>
                <c:pt idx="3">
                  <c:v>-99</c:v>
                </c:pt>
                <c:pt idx="4">
                  <c:v>-99</c:v>
                </c:pt>
                <c:pt idx="5">
                  <c:v>-99</c:v>
                </c:pt>
                <c:pt idx="6">
                  <c:v>-99</c:v>
                </c:pt>
                <c:pt idx="7">
                  <c:v>-99</c:v>
                </c:pt>
                <c:pt idx="8">
                  <c:v>-99</c:v>
                </c:pt>
                <c:pt idx="9">
                  <c:v>-99</c:v>
                </c:pt>
                <c:pt idx="10">
                  <c:v>-99</c:v>
                </c:pt>
                <c:pt idx="11">
                  <c:v>-99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17E-444B-A448-8B3FAC322978}"/>
            </c:ext>
          </c:extLst>
        </c:ser>
        <c:ser>
          <c:idx val="11"/>
          <c:order val="11"/>
          <c:tx>
            <c:v>Test3G</c:v>
          </c:tx>
          <c:spPr>
            <a:ln>
              <a:noFill/>
            </a:ln>
          </c:spPr>
          <c:marker>
            <c:symbol val="triangle"/>
            <c:size val="5"/>
            <c:spPr>
              <a:solidFill>
                <a:srgbClr val="00BF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Filmtest!$AD$8:$AD$19</c:f>
              <c:numCache>
                <c:formatCode>0.00</c:formatCode>
                <c:ptCount val="12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</c:numCache>
            </c:numRef>
          </c:xVal>
          <c:yVal>
            <c:numRef>
              <c:f>Filmtest!$AD$30:$AD$41</c:f>
              <c:numCache>
                <c:formatCode>General</c:formatCode>
                <c:ptCount val="12"/>
                <c:pt idx="0">
                  <c:v>-99</c:v>
                </c:pt>
                <c:pt idx="1">
                  <c:v>-99</c:v>
                </c:pt>
                <c:pt idx="2">
                  <c:v>-99</c:v>
                </c:pt>
                <c:pt idx="3">
                  <c:v>-99</c:v>
                </c:pt>
                <c:pt idx="4">
                  <c:v>-99</c:v>
                </c:pt>
                <c:pt idx="5">
                  <c:v>-99</c:v>
                </c:pt>
                <c:pt idx="6">
                  <c:v>-99</c:v>
                </c:pt>
                <c:pt idx="7">
                  <c:v>-99</c:v>
                </c:pt>
                <c:pt idx="8">
                  <c:v>-99</c:v>
                </c:pt>
                <c:pt idx="9">
                  <c:v>-99</c:v>
                </c:pt>
                <c:pt idx="10">
                  <c:v>-99</c:v>
                </c:pt>
                <c:pt idx="11">
                  <c:v>-99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17E-444B-A448-8B3FAC322978}"/>
            </c:ext>
          </c:extLst>
        </c:ser>
        <c:ser>
          <c:idx val="12"/>
          <c:order val="12"/>
          <c:tx>
            <c:v>Test4G</c:v>
          </c:tx>
          <c:spPr>
            <a:ln>
              <a:noFill/>
            </a:ln>
          </c:spPr>
          <c:marker>
            <c:symbol val="squar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Filmtest!$AE$8:$AE$19</c:f>
              <c:numCache>
                <c:formatCode>0.00</c:formatCode>
                <c:ptCount val="12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</c:numCache>
            </c:numRef>
          </c:xVal>
          <c:yVal>
            <c:numRef>
              <c:f>Filmtest!$AE$30:$AE$41</c:f>
              <c:numCache>
                <c:formatCode>General</c:formatCode>
                <c:ptCount val="12"/>
                <c:pt idx="0">
                  <c:v>-99</c:v>
                </c:pt>
                <c:pt idx="1">
                  <c:v>-99</c:v>
                </c:pt>
                <c:pt idx="2">
                  <c:v>-99</c:v>
                </c:pt>
                <c:pt idx="3">
                  <c:v>-99</c:v>
                </c:pt>
                <c:pt idx="4">
                  <c:v>-99</c:v>
                </c:pt>
                <c:pt idx="5">
                  <c:v>-99</c:v>
                </c:pt>
                <c:pt idx="6">
                  <c:v>-99</c:v>
                </c:pt>
                <c:pt idx="7">
                  <c:v>-99</c:v>
                </c:pt>
                <c:pt idx="8">
                  <c:v>-99</c:v>
                </c:pt>
                <c:pt idx="9">
                  <c:v>-99</c:v>
                </c:pt>
                <c:pt idx="10">
                  <c:v>-99</c:v>
                </c:pt>
                <c:pt idx="11">
                  <c:v>-99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17E-444B-A448-8B3FAC322978}"/>
            </c:ext>
          </c:extLst>
        </c:ser>
        <c:ser>
          <c:idx val="13"/>
          <c:order val="13"/>
          <c:tx>
            <c:v>Test5G</c:v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Filmtest!$AF$8:$AF$19</c:f>
              <c:numCache>
                <c:formatCode>0.00</c:formatCode>
                <c:ptCount val="12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</c:numCache>
            </c:numRef>
          </c:xVal>
          <c:yVal>
            <c:numRef>
              <c:f>Filmtest!$AF$30:$AF$41</c:f>
              <c:numCache>
                <c:formatCode>General</c:formatCode>
                <c:ptCount val="12"/>
                <c:pt idx="0">
                  <c:v>-99</c:v>
                </c:pt>
                <c:pt idx="1">
                  <c:v>-99</c:v>
                </c:pt>
                <c:pt idx="2">
                  <c:v>-99</c:v>
                </c:pt>
                <c:pt idx="3">
                  <c:v>-99</c:v>
                </c:pt>
                <c:pt idx="4">
                  <c:v>-99</c:v>
                </c:pt>
                <c:pt idx="5">
                  <c:v>-99</c:v>
                </c:pt>
                <c:pt idx="6">
                  <c:v>-99</c:v>
                </c:pt>
                <c:pt idx="7">
                  <c:v>-99</c:v>
                </c:pt>
                <c:pt idx="8">
                  <c:v>-99</c:v>
                </c:pt>
                <c:pt idx="9">
                  <c:v>-99</c:v>
                </c:pt>
                <c:pt idx="10">
                  <c:v>-99</c:v>
                </c:pt>
                <c:pt idx="11">
                  <c:v>-99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17E-444B-A448-8B3FAC322978}"/>
            </c:ext>
          </c:extLst>
        </c:ser>
        <c:ser>
          <c:idx val="14"/>
          <c:order val="14"/>
          <c:tx>
            <c:v>Test6G</c:v>
          </c:tx>
          <c:spPr>
            <a:ln>
              <a:noFill/>
            </a:ln>
          </c:spPr>
          <c:marker>
            <c:symbol val="triang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Filmtest!$AG$8:$AG$19</c:f>
              <c:numCache>
                <c:formatCode>0.00</c:formatCode>
                <c:ptCount val="12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</c:numCache>
            </c:numRef>
          </c:xVal>
          <c:yVal>
            <c:numRef>
              <c:f>Filmtest!$AG$30:$AG$41</c:f>
              <c:numCache>
                <c:formatCode>General</c:formatCode>
                <c:ptCount val="12"/>
                <c:pt idx="0">
                  <c:v>-99</c:v>
                </c:pt>
                <c:pt idx="1">
                  <c:v>-99</c:v>
                </c:pt>
                <c:pt idx="2">
                  <c:v>-99</c:v>
                </c:pt>
                <c:pt idx="3">
                  <c:v>-99</c:v>
                </c:pt>
                <c:pt idx="4">
                  <c:v>-99</c:v>
                </c:pt>
                <c:pt idx="5">
                  <c:v>-99</c:v>
                </c:pt>
                <c:pt idx="6">
                  <c:v>-99</c:v>
                </c:pt>
                <c:pt idx="7">
                  <c:v>-99</c:v>
                </c:pt>
                <c:pt idx="8">
                  <c:v>-99</c:v>
                </c:pt>
                <c:pt idx="9">
                  <c:v>-99</c:v>
                </c:pt>
                <c:pt idx="10">
                  <c:v>-99</c:v>
                </c:pt>
                <c:pt idx="11">
                  <c:v>-99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17E-444B-A448-8B3FAC322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954888"/>
        <c:axId val="447955280"/>
      </c:scatterChart>
      <c:scatterChart>
        <c:scatterStyle val="smoothMarker"/>
        <c:varyColors val="0"/>
        <c:ser>
          <c:idx val="2"/>
          <c:order val="3"/>
          <c:tx>
            <c:v>Test1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Filmtest!$AB$7:$AB$20</c:f>
              <c:numCache>
                <c:formatCode>0.00</c:formatCode>
                <c:ptCount val="14"/>
                <c:pt idx="0">
                  <c:v>-5.67</c:v>
                </c:pt>
                <c:pt idx="1">
                  <c:v>-4.67</c:v>
                </c:pt>
                <c:pt idx="2">
                  <c:v>-3.67</c:v>
                </c:pt>
                <c:pt idx="3">
                  <c:v>-2.67</c:v>
                </c:pt>
                <c:pt idx="4">
                  <c:v>-1.67</c:v>
                </c:pt>
                <c:pt idx="5">
                  <c:v>-0.67</c:v>
                </c:pt>
                <c:pt idx="6">
                  <c:v>0.33</c:v>
                </c:pt>
                <c:pt idx="7">
                  <c:v>1.33</c:v>
                </c:pt>
                <c:pt idx="8">
                  <c:v>2.33</c:v>
                </c:pt>
                <c:pt idx="9">
                  <c:v>3.33</c:v>
                </c:pt>
                <c:pt idx="10">
                  <c:v>4.33</c:v>
                </c:pt>
                <c:pt idx="11">
                  <c:v>5.33</c:v>
                </c:pt>
                <c:pt idx="12">
                  <c:v>6.33</c:v>
                </c:pt>
                <c:pt idx="13">
                  <c:v>7.33</c:v>
                </c:pt>
              </c:numCache>
            </c:numRef>
          </c:xVal>
          <c:yVal>
            <c:numRef>
              <c:f>Filmtest!$B$7:$B$20</c:f>
              <c:numCache>
                <c:formatCode>0.00</c:formatCode>
                <c:ptCount val="14"/>
                <c:pt idx="0">
                  <c:v>0.02</c:v>
                </c:pt>
                <c:pt idx="1">
                  <c:v>0.06</c:v>
                </c:pt>
                <c:pt idx="2">
                  <c:v>0.14000000000000001</c:v>
                </c:pt>
                <c:pt idx="3">
                  <c:v>0.26</c:v>
                </c:pt>
                <c:pt idx="4">
                  <c:v>0.46</c:v>
                </c:pt>
                <c:pt idx="5">
                  <c:v>0.65</c:v>
                </c:pt>
                <c:pt idx="6">
                  <c:v>0.85</c:v>
                </c:pt>
                <c:pt idx="7">
                  <c:v>1.04</c:v>
                </c:pt>
                <c:pt idx="8">
                  <c:v>1.24</c:v>
                </c:pt>
                <c:pt idx="9">
                  <c:v>1.42</c:v>
                </c:pt>
                <c:pt idx="10">
                  <c:v>1.58</c:v>
                </c:pt>
                <c:pt idx="11">
                  <c:v>1.72</c:v>
                </c:pt>
                <c:pt idx="12">
                  <c:v>1.86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417E-444B-A448-8B3FAC322978}"/>
            </c:ext>
          </c:extLst>
        </c:ser>
        <c:ser>
          <c:idx val="3"/>
          <c:order val="4"/>
          <c:tx>
            <c:v>Test2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Filmtest!$AC$7:$AC$20</c:f>
              <c:numCache>
                <c:formatCode>0.00</c:formatCode>
                <c:ptCount val="14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</c:numCache>
            </c:numRef>
          </c:xVal>
          <c:yVal>
            <c:numRef>
              <c:f>Filmtest!$C$7:$C$20</c:f>
              <c:numCache>
                <c:formatCode>0.00</c:formatCode>
                <c:ptCount val="14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417E-444B-A448-8B3FAC322978}"/>
            </c:ext>
          </c:extLst>
        </c:ser>
        <c:ser>
          <c:idx val="4"/>
          <c:order val="5"/>
          <c:tx>
            <c:v>Test3</c:v>
          </c:tx>
          <c:spPr>
            <a:ln>
              <a:solidFill>
                <a:srgbClr val="00BF00"/>
              </a:solidFill>
            </a:ln>
          </c:spPr>
          <c:marker>
            <c:symbol val="none"/>
          </c:marker>
          <c:xVal>
            <c:numRef>
              <c:f>Filmtest!$AD$7:$AD$20</c:f>
              <c:numCache>
                <c:formatCode>0.00</c:formatCode>
                <c:ptCount val="14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</c:numCache>
            </c:numRef>
          </c:xVal>
          <c:yVal>
            <c:numRef>
              <c:f>Filmtest!$D$7:$D$20</c:f>
              <c:numCache>
                <c:formatCode>0.00</c:formatCode>
                <c:ptCount val="14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B-417E-444B-A448-8B3FAC322978}"/>
            </c:ext>
          </c:extLst>
        </c:ser>
        <c:ser>
          <c:idx val="6"/>
          <c:order val="6"/>
          <c:tx>
            <c:v>Test4</c:v>
          </c:tx>
          <c:marker>
            <c:symbol val="none"/>
          </c:marker>
          <c:xVal>
            <c:numRef>
              <c:f>Filmtest!$AE$7:$AE$20</c:f>
              <c:numCache>
                <c:formatCode>0.00</c:formatCode>
                <c:ptCount val="14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</c:numCache>
            </c:numRef>
          </c:xVal>
          <c:yVal>
            <c:numRef>
              <c:f>Filmtest!$E$7:$E$20</c:f>
              <c:numCache>
                <c:formatCode>0.00</c:formatCode>
                <c:ptCount val="14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417E-444B-A448-8B3FAC322978}"/>
            </c:ext>
          </c:extLst>
        </c:ser>
        <c:ser>
          <c:idx val="7"/>
          <c:order val="7"/>
          <c:tx>
            <c:v>Test5</c:v>
          </c:tx>
          <c:marker>
            <c:symbol val="none"/>
          </c:marker>
          <c:xVal>
            <c:numRef>
              <c:f>Filmtest!$AF$7:$AF$20</c:f>
              <c:numCache>
                <c:formatCode>0.00</c:formatCode>
                <c:ptCount val="14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</c:numCache>
            </c:numRef>
          </c:xVal>
          <c:yVal>
            <c:numRef>
              <c:f>Filmtest!$F$7:$F$20</c:f>
              <c:numCache>
                <c:formatCode>0.00</c:formatCode>
                <c:ptCount val="14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417E-444B-A448-8B3FAC322978}"/>
            </c:ext>
          </c:extLst>
        </c:ser>
        <c:ser>
          <c:idx val="8"/>
          <c:order val="8"/>
          <c:tx>
            <c:v>Test6</c:v>
          </c:tx>
          <c:marker>
            <c:symbol val="none"/>
          </c:marker>
          <c:xVal>
            <c:numRef>
              <c:f>Filmtest!$AG$7:$AG$20</c:f>
              <c:numCache>
                <c:formatCode>0.00</c:formatCode>
                <c:ptCount val="14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</c:numCache>
            </c:numRef>
          </c:xVal>
          <c:yVal>
            <c:numRef>
              <c:f>Filmtest!$G$7:$G$20</c:f>
              <c:numCache>
                <c:formatCode>0.00</c:formatCode>
                <c:ptCount val="14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E-417E-444B-A448-8B3FAC322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954888"/>
        <c:axId val="447955280"/>
      </c:scatterChart>
      <c:valAx>
        <c:axId val="447954888"/>
        <c:scaling>
          <c:orientation val="minMax"/>
          <c:max val="7"/>
          <c:min val="-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strRef>
              <c:f>Filmtest!$AB$48</c:f>
              <c:strCache>
                <c:ptCount val="1"/>
                <c:pt idx="0">
                  <c:v>Unter-/Überbelichtung in EV-Stufen (Zeit- oder Blendenstufen),
gestrichelte Linien entsprechen Gammawerten 0,55 / 0,65 / 0,75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47955280"/>
        <c:crossesAt val="0"/>
        <c:crossBetween val="midCat"/>
        <c:majorUnit val="1"/>
        <c:minorUnit val="0.33333333333000165"/>
      </c:valAx>
      <c:valAx>
        <c:axId val="447955280"/>
        <c:scaling>
          <c:orientation val="minMax"/>
          <c:max val="2.200000000000000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strRef>
              <c:f>Filmtest!$AB$49</c:f>
              <c:strCache>
                <c:ptCount val="1"/>
                <c:pt idx="0">
                  <c:v>Dichte, bzw. Partialkontrast (• •)</c:v>
                </c:pt>
              </c:strCache>
            </c:strRef>
          </c:tx>
          <c:layout/>
          <c:overlay val="0"/>
        </c:title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47954888"/>
        <c:crossesAt val="-5"/>
        <c:crossBetween val="midCat"/>
        <c:majorUnit val="0.2"/>
        <c:minorUnit val="0.1"/>
      </c:valAx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27" footer="0.4921259845000072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104775</xdr:rowOff>
    </xdr:from>
    <xdr:to>
      <xdr:col>7</xdr:col>
      <xdr:colOff>0</xdr:colOff>
      <xdr:row>54</xdr:row>
      <xdr:rowOff>152400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0</xdr:row>
          <xdr:rowOff>0</xdr:rowOff>
        </xdr:from>
        <xdr:to>
          <xdr:col>7</xdr:col>
          <xdr:colOff>771525</xdr:colOff>
          <xdr:row>1</xdr:row>
          <xdr:rowOff>0</xdr:rowOff>
        </xdr:to>
        <xdr:sp macro="" textlink="">
          <xdr:nvSpPr>
            <xdr:cNvPr id="1037" name="OptionLanguage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xmlns="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0</xdr:row>
          <xdr:rowOff>209550</xdr:rowOff>
        </xdr:from>
        <xdr:to>
          <xdr:col>7</xdr:col>
          <xdr:colOff>771525</xdr:colOff>
          <xdr:row>2</xdr:row>
          <xdr:rowOff>0</xdr:rowOff>
        </xdr:to>
        <xdr:sp macro="" textlink="">
          <xdr:nvSpPr>
            <xdr:cNvPr id="1038" name="OptionButton1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xmlns="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http://www.anzinger-online.de/Foto/filmtest.html" TargetMode="External"/><Relationship Id="rId7" Type="http://schemas.openxmlformats.org/officeDocument/2006/relationships/control" Target="../activeX/activeX1.xml"/><Relationship Id="rId2" Type="http://schemas.openxmlformats.org/officeDocument/2006/relationships/hyperlink" Target="http://www.anzinger-online.de/Foto/filmtest.html" TargetMode="External"/><Relationship Id="rId1" Type="http://schemas.openxmlformats.org/officeDocument/2006/relationships/hyperlink" Target="http://www.anzinger-online.de/Foto" TargetMode="External"/><Relationship Id="rId6" Type="http://schemas.openxmlformats.org/officeDocument/2006/relationships/vmlDrawing" Target="../drawings/vmlDrawing1.vml"/><Relationship Id="rId11" Type="http://schemas.openxmlformats.org/officeDocument/2006/relationships/comments" Target="../comments1.xml"/><Relationship Id="rId5" Type="http://schemas.openxmlformats.org/officeDocument/2006/relationships/drawing" Target="../drawings/drawing1.xml"/><Relationship Id="rId10" Type="http://schemas.openxmlformats.org/officeDocument/2006/relationships/image" Target="../media/image2.emf"/><Relationship Id="rId4" Type="http://schemas.openxmlformats.org/officeDocument/2006/relationships/printerSettings" Target="../printerSettings/printerSettings1.bin"/><Relationship Id="rId9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BP67"/>
  <sheetViews>
    <sheetView tabSelected="1" zoomScaleNormal="100" workbookViewId="0">
      <selection activeCell="B27" sqref="B27"/>
    </sheetView>
  </sheetViews>
  <sheetFormatPr baseColWidth="10" defaultColWidth="11.5703125" defaultRowHeight="12.75" x14ac:dyDescent="0.2"/>
  <cols>
    <col min="1" max="1" width="22.7109375" customWidth="1"/>
    <col min="2" max="7" width="11.28515625" customWidth="1"/>
    <col min="8" max="8" width="12.140625" bestFit="1" customWidth="1"/>
    <col min="27" max="27" width="11.5703125" style="29"/>
  </cols>
  <sheetData>
    <row r="1" spans="1:68" s="50" customFormat="1" ht="18.75" thickBot="1" x14ac:dyDescent="0.3">
      <c r="A1" s="1" t="str">
        <f>IF(german,"Filmsorte:","Kind of film:")</f>
        <v>Filmsorte:</v>
      </c>
      <c r="B1" s="2" t="str">
        <f>IF(german,"&lt;Hier Filmsorte eintragen&gt;","&lt;Insert kind of film here&gt;")</f>
        <v>&lt;Hier Filmsorte eintragen&gt;</v>
      </c>
      <c r="C1" s="2"/>
      <c r="D1" s="2"/>
      <c r="E1" s="2"/>
      <c r="F1" s="2"/>
      <c r="G1" s="2"/>
      <c r="I1" s="111" t="s">
        <v>66</v>
      </c>
      <c r="J1" s="111"/>
      <c r="K1" s="111"/>
      <c r="L1" s="111"/>
      <c r="AA1" s="1"/>
    </row>
    <row r="2" spans="1:68" x14ac:dyDescent="0.2">
      <c r="A2" s="3" t="str">
        <f>IF(german,"Datum des Tests","date of test")</f>
        <v>Datum des Tests</v>
      </c>
      <c r="B2" s="54">
        <v>44884</v>
      </c>
      <c r="C2" s="4"/>
      <c r="D2" s="4"/>
      <c r="E2" s="4"/>
      <c r="F2" s="4"/>
      <c r="G2" s="5"/>
      <c r="AB2" s="6">
        <f t="shared" ref="AB2:AG2" si="0">ROUND(21+3*LOG(B$3/100,2),0)+B$21</f>
        <v>19</v>
      </c>
      <c r="AC2" s="6">
        <f t="shared" si="0"/>
        <v>21</v>
      </c>
      <c r="AD2" s="6">
        <f t="shared" si="0"/>
        <v>21</v>
      </c>
      <c r="AE2" s="6">
        <f t="shared" si="0"/>
        <v>21</v>
      </c>
      <c r="AF2" s="6">
        <f t="shared" si="0"/>
        <v>21</v>
      </c>
      <c r="AG2" s="6">
        <f t="shared" si="0"/>
        <v>21</v>
      </c>
      <c r="AI2">
        <v>9</v>
      </c>
      <c r="AJ2">
        <v>10</v>
      </c>
      <c r="AK2">
        <v>11</v>
      </c>
      <c r="AL2">
        <v>12</v>
      </c>
      <c r="AM2">
        <v>13</v>
      </c>
      <c r="AN2">
        <v>14</v>
      </c>
      <c r="AO2">
        <v>15</v>
      </c>
      <c r="AP2">
        <v>16</v>
      </c>
      <c r="AQ2">
        <v>17</v>
      </c>
      <c r="AR2">
        <v>18</v>
      </c>
      <c r="AS2">
        <v>19</v>
      </c>
      <c r="AT2">
        <v>20</v>
      </c>
      <c r="AU2">
        <v>21</v>
      </c>
      <c r="AV2">
        <v>22</v>
      </c>
      <c r="AW2">
        <v>23</v>
      </c>
      <c r="AX2">
        <v>24</v>
      </c>
      <c r="AY2">
        <v>25</v>
      </c>
      <c r="AZ2">
        <v>26</v>
      </c>
      <c r="BA2">
        <v>27</v>
      </c>
      <c r="BB2">
        <v>28</v>
      </c>
      <c r="BC2">
        <v>29</v>
      </c>
      <c r="BD2">
        <v>30</v>
      </c>
      <c r="BE2">
        <v>31</v>
      </c>
      <c r="BF2">
        <v>32</v>
      </c>
      <c r="BG2">
        <v>33</v>
      </c>
      <c r="BH2">
        <v>34</v>
      </c>
      <c r="BI2">
        <v>35</v>
      </c>
      <c r="BJ2">
        <v>36</v>
      </c>
      <c r="BK2">
        <v>37</v>
      </c>
      <c r="BL2">
        <v>38</v>
      </c>
      <c r="BM2">
        <v>39</v>
      </c>
      <c r="BN2">
        <v>40</v>
      </c>
      <c r="BO2">
        <v>41</v>
      </c>
      <c r="BP2">
        <v>42</v>
      </c>
    </row>
    <row r="3" spans="1:68" x14ac:dyDescent="0.2">
      <c r="A3" s="7" t="str">
        <f>IF(german,"Belichtungsmesser ISO","light meter at ISO")</f>
        <v>Belichtungsmesser ISO</v>
      </c>
      <c r="B3" s="55">
        <v>100</v>
      </c>
      <c r="C3" s="56">
        <v>100</v>
      </c>
      <c r="D3" s="56">
        <v>100</v>
      </c>
      <c r="E3" s="56">
        <v>100</v>
      </c>
      <c r="F3" s="56">
        <v>100</v>
      </c>
      <c r="G3" s="8">
        <v>100</v>
      </c>
      <c r="I3" t="str">
        <f>IF(german,"Anleitung zum Eintesten von SW-Filmen:","Instruction for testing of B&amp;W films (German only):")</f>
        <v>Anleitung zum Eintesten von SW-Filmen:</v>
      </c>
      <c r="AB3" s="9">
        <f t="shared" ref="AB3:AG3" si="1">HLOOKUP(AB$2,$AI$2:$BP$3,2)</f>
        <v>64</v>
      </c>
      <c r="AC3" s="9">
        <f t="shared" si="1"/>
        <v>100</v>
      </c>
      <c r="AD3" s="9">
        <f t="shared" si="1"/>
        <v>100</v>
      </c>
      <c r="AE3" s="9">
        <f t="shared" si="1"/>
        <v>100</v>
      </c>
      <c r="AF3" s="9">
        <f t="shared" si="1"/>
        <v>100</v>
      </c>
      <c r="AG3" s="9">
        <f t="shared" si="1"/>
        <v>100</v>
      </c>
      <c r="AI3">
        <v>6</v>
      </c>
      <c r="AJ3">
        <v>8</v>
      </c>
      <c r="AK3">
        <v>10</v>
      </c>
      <c r="AL3">
        <v>12</v>
      </c>
      <c r="AM3">
        <v>16</v>
      </c>
      <c r="AN3">
        <v>20</v>
      </c>
      <c r="AO3">
        <v>25</v>
      </c>
      <c r="AP3">
        <v>32</v>
      </c>
      <c r="AQ3">
        <v>40</v>
      </c>
      <c r="AR3">
        <v>50</v>
      </c>
      <c r="AS3">
        <v>64</v>
      </c>
      <c r="AT3">
        <v>80</v>
      </c>
      <c r="AU3">
        <v>100</v>
      </c>
      <c r="AV3">
        <v>125</v>
      </c>
      <c r="AW3">
        <v>160</v>
      </c>
      <c r="AX3">
        <v>200</v>
      </c>
      <c r="AY3">
        <v>250</v>
      </c>
      <c r="AZ3">
        <v>320</v>
      </c>
      <c r="BA3">
        <v>400</v>
      </c>
      <c r="BB3">
        <v>500</v>
      </c>
      <c r="BC3">
        <v>640</v>
      </c>
      <c r="BD3">
        <v>800</v>
      </c>
      <c r="BE3">
        <v>1000</v>
      </c>
      <c r="BF3">
        <v>1250</v>
      </c>
      <c r="BG3">
        <v>1600</v>
      </c>
      <c r="BH3">
        <v>2000</v>
      </c>
      <c r="BI3">
        <v>2500</v>
      </c>
      <c r="BJ3">
        <v>3200</v>
      </c>
      <c r="BK3">
        <v>4000</v>
      </c>
      <c r="BL3">
        <v>5000</v>
      </c>
      <c r="BM3">
        <v>6400</v>
      </c>
      <c r="BN3">
        <v>8000</v>
      </c>
      <c r="BO3">
        <v>10000</v>
      </c>
      <c r="BP3">
        <v>12800</v>
      </c>
    </row>
    <row r="4" spans="1:68" x14ac:dyDescent="0.2">
      <c r="A4" s="10" t="str">
        <f>IF(german,"Entwickler, Verdünnung","developer, dilution")</f>
        <v>Entwickler, Verdünnung</v>
      </c>
      <c r="B4" s="57" t="s">
        <v>54</v>
      </c>
      <c r="C4" s="56"/>
      <c r="D4" s="56"/>
      <c r="E4" s="56"/>
      <c r="F4" s="56"/>
      <c r="G4" s="58"/>
      <c r="H4" s="29"/>
      <c r="I4" s="110" t="s">
        <v>67</v>
      </c>
      <c r="J4" s="110"/>
      <c r="K4" s="110"/>
      <c r="L4" s="110"/>
      <c r="AB4" s="9"/>
      <c r="AC4" s="9"/>
      <c r="AD4" s="9"/>
      <c r="AE4" s="9"/>
      <c r="AF4" s="9"/>
      <c r="AG4" s="9"/>
    </row>
    <row r="5" spans="1:68" x14ac:dyDescent="0.2">
      <c r="A5" s="70" t="str">
        <f>IF(german,"Kipprhythmus, Temp.","agitation, temperature")</f>
        <v>Kipprhythmus, Temp.</v>
      </c>
      <c r="B5" s="57" t="s">
        <v>64</v>
      </c>
      <c r="C5" s="59"/>
      <c r="D5" s="59"/>
      <c r="E5" s="59"/>
      <c r="F5" s="59"/>
      <c r="G5" s="60"/>
      <c r="AB5" s="11" t="s">
        <v>0</v>
      </c>
      <c r="AD5" s="9"/>
      <c r="AE5" s="9"/>
      <c r="AF5" s="9"/>
      <c r="AG5" s="9"/>
      <c r="AI5" t="s">
        <v>1</v>
      </c>
      <c r="AQ5" s="12" t="s">
        <v>2</v>
      </c>
      <c r="AR5" s="12" t="s">
        <v>3</v>
      </c>
      <c r="AS5" s="12" t="s">
        <v>4</v>
      </c>
      <c r="AT5" s="9" t="s">
        <v>5</v>
      </c>
      <c r="AU5" s="9" t="s">
        <v>6</v>
      </c>
      <c r="AV5" s="9" t="s">
        <v>7</v>
      </c>
      <c r="AW5" s="9" t="s">
        <v>8</v>
      </c>
      <c r="AX5" s="9" t="s">
        <v>9</v>
      </c>
      <c r="AY5" s="9" t="s">
        <v>10</v>
      </c>
      <c r="AZ5" s="9" t="s">
        <v>11</v>
      </c>
    </row>
    <row r="6" spans="1:68" ht="13.5" thickBot="1" x14ac:dyDescent="0.25">
      <c r="A6" s="13" t="str">
        <f>IF(german,"Entw.-Zeit in mm:ss","dev. time in mm:ss")</f>
        <v>Entw.-Zeit in mm:ss</v>
      </c>
      <c r="B6" s="61" t="s">
        <v>68</v>
      </c>
      <c r="C6" s="62"/>
      <c r="D6" s="62"/>
      <c r="E6" s="62"/>
      <c r="F6" s="62"/>
      <c r="G6" s="63"/>
      <c r="I6" s="71" t="str">
        <f>IF(german,"Bereich für erweiterte Kommentare oder eigene Auswertungen","Range for extended comments or for personal evaluations")</f>
        <v>Bereich für erweiterte Kommentare oder eigene Auswertungen</v>
      </c>
      <c r="J6" s="72"/>
      <c r="K6" s="72"/>
      <c r="L6" s="72"/>
      <c r="M6" s="72"/>
      <c r="N6" s="72"/>
      <c r="O6" s="73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B6" t="s">
        <v>12</v>
      </c>
      <c r="AC6" t="s">
        <v>13</v>
      </c>
      <c r="AD6" t="s">
        <v>14</v>
      </c>
      <c r="AE6" t="s">
        <v>15</v>
      </c>
      <c r="AF6" t="s">
        <v>16</v>
      </c>
      <c r="AG6" t="s">
        <v>17</v>
      </c>
      <c r="AI6">
        <v>0.55000000000000004</v>
      </c>
      <c r="AJ6">
        <v>0.65</v>
      </c>
      <c r="AK6">
        <v>0.75</v>
      </c>
      <c r="AN6" s="9">
        <v>-9</v>
      </c>
      <c r="AO6" s="9">
        <v>-8</v>
      </c>
      <c r="AP6" s="9">
        <v>-7</v>
      </c>
      <c r="AQ6" s="9">
        <v>-6</v>
      </c>
      <c r="AR6" s="9">
        <v>-5</v>
      </c>
      <c r="AS6" s="9">
        <v>-4</v>
      </c>
      <c r="AT6" s="9">
        <v>-3</v>
      </c>
      <c r="AU6" s="9">
        <v>-2</v>
      </c>
      <c r="AV6" s="9">
        <v>-1</v>
      </c>
      <c r="AW6" s="9">
        <v>0</v>
      </c>
      <c r="AX6" s="9">
        <v>1</v>
      </c>
      <c r="AY6" s="9">
        <v>2</v>
      </c>
      <c r="AZ6" s="9">
        <v>3</v>
      </c>
      <c r="BA6" s="9">
        <v>4</v>
      </c>
      <c r="BB6" s="9">
        <v>5</v>
      </c>
      <c r="BC6" s="9">
        <v>6</v>
      </c>
      <c r="BF6" s="75"/>
      <c r="BG6" s="29" t="s">
        <v>69</v>
      </c>
      <c r="BH6" s="83" t="s">
        <v>70</v>
      </c>
    </row>
    <row r="7" spans="1:68" x14ac:dyDescent="0.2">
      <c r="A7" s="14" t="s">
        <v>18</v>
      </c>
      <c r="B7" s="15">
        <v>0.02</v>
      </c>
      <c r="C7" s="15"/>
      <c r="D7" s="15"/>
      <c r="E7" s="15"/>
      <c r="F7" s="15"/>
      <c r="G7" s="16"/>
      <c r="I7" s="74"/>
      <c r="J7" s="75"/>
      <c r="K7" s="75"/>
      <c r="L7" s="75"/>
      <c r="M7" s="75"/>
      <c r="N7" s="75"/>
      <c r="O7" s="76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B7" s="17">
        <f t="shared" ref="AB7:AG7" si="2">HLOOKUP(B$21,$AN$6:$BC$20,2)+IF(RIGHT(B$26,1)=".",100,0)</f>
        <v>-5.67</v>
      </c>
      <c r="AC7" s="17">
        <f t="shared" si="2"/>
        <v>-5</v>
      </c>
      <c r="AD7" s="17">
        <f t="shared" si="2"/>
        <v>-5</v>
      </c>
      <c r="AE7" s="17">
        <f t="shared" si="2"/>
        <v>-5</v>
      </c>
      <c r="AF7" s="17">
        <f t="shared" si="2"/>
        <v>-5</v>
      </c>
      <c r="AG7" s="17">
        <f t="shared" si="2"/>
        <v>-5</v>
      </c>
      <c r="AM7" s="9" t="s">
        <v>19</v>
      </c>
      <c r="AN7">
        <v>-8</v>
      </c>
      <c r="AO7">
        <v>-7.67</v>
      </c>
      <c r="AP7">
        <v>-7.33</v>
      </c>
      <c r="AQ7" s="9">
        <v>-7</v>
      </c>
      <c r="AR7" s="9">
        <v>-6.67</v>
      </c>
      <c r="AS7" s="9">
        <v>-6.33</v>
      </c>
      <c r="AT7" s="9">
        <v>-6</v>
      </c>
      <c r="AU7" s="9">
        <v>-5.67</v>
      </c>
      <c r="AV7" s="9">
        <v>-5.33</v>
      </c>
      <c r="AW7" s="9">
        <v>-5</v>
      </c>
      <c r="AX7" s="9">
        <v>-4.67</v>
      </c>
      <c r="AY7" s="9">
        <v>-4.33</v>
      </c>
      <c r="AZ7" s="9">
        <v>-4</v>
      </c>
      <c r="BA7">
        <v>-3.67</v>
      </c>
      <c r="BB7">
        <v>-3.33</v>
      </c>
      <c r="BC7">
        <v>-3</v>
      </c>
      <c r="BF7" s="75">
        <f>$J$31-INT($J$30)+11</f>
        <v>3</v>
      </c>
      <c r="BG7">
        <v>11</v>
      </c>
      <c r="BH7">
        <v>1</v>
      </c>
    </row>
    <row r="8" spans="1:68" x14ac:dyDescent="0.2">
      <c r="A8" s="18" t="s">
        <v>20</v>
      </c>
      <c r="B8" s="19">
        <v>0.06</v>
      </c>
      <c r="C8" s="93"/>
      <c r="D8" s="19"/>
      <c r="E8" s="19"/>
      <c r="F8" s="19"/>
      <c r="G8" s="20"/>
      <c r="I8" s="74"/>
      <c r="J8" s="75"/>
      <c r="K8" s="75"/>
      <c r="L8" s="75"/>
      <c r="M8" s="75"/>
      <c r="N8" s="75"/>
      <c r="O8" s="76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B8" s="17">
        <f t="shared" ref="AB8:AG8" si="3">HLOOKUP(B$21,$AN$6:$BC$20,3)+IF(RIGHT(B$26,1)=".",100,0)</f>
        <v>-4.67</v>
      </c>
      <c r="AC8" s="17">
        <f t="shared" si="3"/>
        <v>-4</v>
      </c>
      <c r="AD8" s="17">
        <f t="shared" si="3"/>
        <v>-4</v>
      </c>
      <c r="AE8" s="17">
        <f t="shared" si="3"/>
        <v>-4</v>
      </c>
      <c r="AF8" s="17">
        <f t="shared" si="3"/>
        <v>-4</v>
      </c>
      <c r="AG8" s="17">
        <f t="shared" si="3"/>
        <v>-4</v>
      </c>
      <c r="AJ8">
        <v>0.1</v>
      </c>
      <c r="AM8" s="9" t="s">
        <v>21</v>
      </c>
      <c r="AN8">
        <v>-7</v>
      </c>
      <c r="AO8">
        <v>-6.67</v>
      </c>
      <c r="AP8">
        <v>-6.33</v>
      </c>
      <c r="AQ8" s="9">
        <v>-6</v>
      </c>
      <c r="AR8" s="9">
        <v>-5.67</v>
      </c>
      <c r="AS8" s="9">
        <v>-5.33</v>
      </c>
      <c r="AT8" s="9">
        <v>-5</v>
      </c>
      <c r="AU8" s="9">
        <v>-4.67</v>
      </c>
      <c r="AV8" s="9">
        <v>-4.33</v>
      </c>
      <c r="AW8" s="9">
        <v>-4</v>
      </c>
      <c r="AX8" s="9">
        <v>-3.67</v>
      </c>
      <c r="AY8" s="9">
        <v>-3.33</v>
      </c>
      <c r="AZ8" s="9">
        <v>-3</v>
      </c>
      <c r="BA8">
        <v>-2.67</v>
      </c>
      <c r="BB8">
        <v>-2.33</v>
      </c>
      <c r="BC8">
        <v>-2</v>
      </c>
      <c r="BF8" s="75"/>
      <c r="BG8">
        <v>10</v>
      </c>
      <c r="BH8" s="75">
        <v>2</v>
      </c>
    </row>
    <row r="9" spans="1:68" x14ac:dyDescent="0.2">
      <c r="A9" s="18" t="s">
        <v>59</v>
      </c>
      <c r="B9" s="19">
        <v>0.14000000000000001</v>
      </c>
      <c r="C9" s="94"/>
      <c r="D9" s="19"/>
      <c r="E9" s="19"/>
      <c r="F9" s="19"/>
      <c r="G9" s="20"/>
      <c r="I9" s="74"/>
      <c r="J9" s="75"/>
      <c r="K9" s="75"/>
      <c r="L9" s="75"/>
      <c r="M9" s="75"/>
      <c r="N9" s="75"/>
      <c r="O9" s="76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B9" s="17">
        <f t="shared" ref="AB9:AG9" si="4">HLOOKUP(B$21,$AN$6:$BC$20,4)+IF(RIGHT(B$26,1)=".",100,0)</f>
        <v>-3.67</v>
      </c>
      <c r="AC9" s="17">
        <f t="shared" si="4"/>
        <v>-3</v>
      </c>
      <c r="AD9" s="17">
        <f t="shared" si="4"/>
        <v>-3</v>
      </c>
      <c r="AE9" s="17">
        <f t="shared" si="4"/>
        <v>-3</v>
      </c>
      <c r="AF9" s="17">
        <f t="shared" si="4"/>
        <v>-3</v>
      </c>
      <c r="AG9" s="17">
        <f t="shared" si="4"/>
        <v>-3</v>
      </c>
      <c r="AJ9">
        <v>0.2</v>
      </c>
      <c r="AM9" s="9" t="s">
        <v>22</v>
      </c>
      <c r="AN9">
        <v>-6</v>
      </c>
      <c r="AO9">
        <v>-5.67</v>
      </c>
      <c r="AP9">
        <v>-5.33</v>
      </c>
      <c r="AQ9" s="9">
        <v>-5</v>
      </c>
      <c r="AR9" s="9">
        <v>-4.67</v>
      </c>
      <c r="AS9" s="9">
        <v>-4.33</v>
      </c>
      <c r="AT9" s="9">
        <v>-4</v>
      </c>
      <c r="AU9" s="9">
        <v>-3.67</v>
      </c>
      <c r="AV9" s="9">
        <v>-3.33</v>
      </c>
      <c r="AW9" s="9">
        <v>-3</v>
      </c>
      <c r="AX9" s="9">
        <v>-2.67</v>
      </c>
      <c r="AY9" s="9">
        <v>-2.33</v>
      </c>
      <c r="AZ9" s="9">
        <v>-2</v>
      </c>
      <c r="BA9">
        <v>-1.67</v>
      </c>
      <c r="BB9">
        <v>-1.33</v>
      </c>
      <c r="BC9">
        <v>-1</v>
      </c>
      <c r="BF9" s="75"/>
      <c r="BG9">
        <v>9</v>
      </c>
      <c r="BH9" s="75">
        <v>4</v>
      </c>
    </row>
    <row r="10" spans="1:68" x14ac:dyDescent="0.2">
      <c r="A10" s="18" t="s">
        <v>60</v>
      </c>
      <c r="B10" s="19">
        <v>0.26</v>
      </c>
      <c r="C10" s="94"/>
      <c r="D10" s="19"/>
      <c r="E10" s="19"/>
      <c r="F10" s="19"/>
      <c r="G10" s="20"/>
      <c r="I10" s="74"/>
      <c r="J10" s="75"/>
      <c r="K10" s="75"/>
      <c r="L10" s="75"/>
      <c r="M10" s="75"/>
      <c r="N10" s="75"/>
      <c r="O10" s="76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B10" s="17">
        <f t="shared" ref="AB10:AG10" si="5">HLOOKUP(B$21,$AN$6:$BC$20,5)+IF(RIGHT(B$26,1)=".",100,0)</f>
        <v>-2.67</v>
      </c>
      <c r="AC10" s="17">
        <f t="shared" si="5"/>
        <v>-2</v>
      </c>
      <c r="AD10" s="17">
        <f t="shared" si="5"/>
        <v>-2</v>
      </c>
      <c r="AE10" s="17">
        <f t="shared" si="5"/>
        <v>-2</v>
      </c>
      <c r="AF10" s="17">
        <f t="shared" si="5"/>
        <v>-2</v>
      </c>
      <c r="AG10" s="17">
        <f t="shared" si="5"/>
        <v>-2</v>
      </c>
      <c r="AI10">
        <f>AJ9+$AI$6*LOG10(2)</f>
        <v>0.36556649761518967</v>
      </c>
      <c r="AJ10">
        <f>AJ9+$AJ$6*LOG10(2)</f>
        <v>0.39566949718158784</v>
      </c>
      <c r="AK10">
        <f>AJ9+$AK$6*LOG10(2)</f>
        <v>0.4257724967479859</v>
      </c>
      <c r="AM10" s="9" t="s">
        <v>23</v>
      </c>
      <c r="AN10">
        <v>-5</v>
      </c>
      <c r="AO10">
        <v>-4.67</v>
      </c>
      <c r="AP10">
        <v>-4.33</v>
      </c>
      <c r="AQ10" s="9">
        <v>-4</v>
      </c>
      <c r="AR10" s="9">
        <v>-3.67</v>
      </c>
      <c r="AS10" s="9">
        <v>-3.33</v>
      </c>
      <c r="AT10" s="9">
        <v>-3</v>
      </c>
      <c r="AU10" s="9">
        <v>-2.67</v>
      </c>
      <c r="AV10" s="9">
        <v>-2.33</v>
      </c>
      <c r="AW10" s="9">
        <v>-2</v>
      </c>
      <c r="AX10" s="9">
        <v>-1.67</v>
      </c>
      <c r="AY10" s="9">
        <v>-1.33</v>
      </c>
      <c r="AZ10" s="9">
        <v>-1</v>
      </c>
      <c r="BA10">
        <v>-0.66999999999999993</v>
      </c>
      <c r="BB10">
        <v>-0.33000000000000007</v>
      </c>
      <c r="BC10">
        <v>0</v>
      </c>
      <c r="BF10" s="75"/>
      <c r="BG10">
        <v>8</v>
      </c>
      <c r="BH10" s="75">
        <v>8</v>
      </c>
    </row>
    <row r="11" spans="1:68" x14ac:dyDescent="0.2">
      <c r="A11" s="18" t="s">
        <v>61</v>
      </c>
      <c r="B11" s="19">
        <v>0.46</v>
      </c>
      <c r="C11" s="93"/>
      <c r="D11" s="19"/>
      <c r="E11" s="19"/>
      <c r="F11" s="19"/>
      <c r="G11" s="20"/>
      <c r="I11" s="74"/>
      <c r="J11" s="75"/>
      <c r="K11" s="75"/>
      <c r="L11" s="75"/>
      <c r="M11" s="75"/>
      <c r="N11" s="75"/>
      <c r="O11" s="76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B11" s="17">
        <f t="shared" ref="AB11:AG11" si="6">HLOOKUP(B$21,$AN$6:$BC$20,6)+IF(RIGHT(B$26,1)=".",100,0)</f>
        <v>-1.67</v>
      </c>
      <c r="AC11" s="17">
        <f t="shared" si="6"/>
        <v>-1</v>
      </c>
      <c r="AD11" s="17">
        <f t="shared" si="6"/>
        <v>-1</v>
      </c>
      <c r="AE11" s="17">
        <f t="shared" si="6"/>
        <v>-1</v>
      </c>
      <c r="AF11" s="17">
        <f t="shared" si="6"/>
        <v>-1</v>
      </c>
      <c r="AG11" s="17">
        <f t="shared" si="6"/>
        <v>-1</v>
      </c>
      <c r="AI11">
        <f>AI10+$AI$6*LOG10(2)</f>
        <v>0.53113299523037938</v>
      </c>
      <c r="AJ11">
        <f t="shared" ref="AJ11:AJ19" si="7">AJ10+$AJ$6*LOG10(2)</f>
        <v>0.59133899436317561</v>
      </c>
      <c r="AK11">
        <f>AK10+$AK$6*LOG10(2)</f>
        <v>0.65154499349597184</v>
      </c>
      <c r="AM11" s="9" t="s">
        <v>24</v>
      </c>
      <c r="AN11">
        <v>-4</v>
      </c>
      <c r="AO11">
        <v>-3.67</v>
      </c>
      <c r="AP11">
        <v>-3.33</v>
      </c>
      <c r="AQ11" s="9">
        <v>-3</v>
      </c>
      <c r="AR11" s="9">
        <v>-2.67</v>
      </c>
      <c r="AS11" s="9">
        <v>-2.33</v>
      </c>
      <c r="AT11" s="9">
        <v>-2</v>
      </c>
      <c r="AU11" s="9">
        <v>-1.67</v>
      </c>
      <c r="AV11" s="9">
        <v>-1.33</v>
      </c>
      <c r="AW11" s="9">
        <v>-1</v>
      </c>
      <c r="AX11" s="9">
        <v>-0.67</v>
      </c>
      <c r="AY11" s="9">
        <v>-0.33</v>
      </c>
      <c r="AZ11" s="9">
        <v>0</v>
      </c>
      <c r="BA11">
        <v>0.32999999999999996</v>
      </c>
      <c r="BB11">
        <v>0.66999999999999993</v>
      </c>
      <c r="BC11">
        <v>1</v>
      </c>
      <c r="BF11" s="75"/>
      <c r="BG11">
        <v>7</v>
      </c>
      <c r="BH11" s="75">
        <v>15</v>
      </c>
    </row>
    <row r="12" spans="1:68" x14ac:dyDescent="0.2">
      <c r="A12" s="51" t="s">
        <v>25</v>
      </c>
      <c r="B12" s="52">
        <v>0.65</v>
      </c>
      <c r="C12" s="95"/>
      <c r="D12" s="52"/>
      <c r="E12" s="52"/>
      <c r="F12" s="52"/>
      <c r="G12" s="53"/>
      <c r="I12" s="74"/>
      <c r="J12" s="75"/>
      <c r="K12" s="75"/>
      <c r="L12" s="75"/>
      <c r="M12" s="75"/>
      <c r="N12" s="75"/>
      <c r="O12" s="76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B12" s="101">
        <f t="shared" ref="AB12:AG12" si="8">HLOOKUP(B$21,$AN$6:$BC$20,7)+IF(RIGHT(B$26,1)=".",100,0)</f>
        <v>-0.67</v>
      </c>
      <c r="AC12" s="101">
        <f t="shared" si="8"/>
        <v>0</v>
      </c>
      <c r="AD12" s="101">
        <f t="shared" si="8"/>
        <v>0</v>
      </c>
      <c r="AE12" s="101">
        <f t="shared" si="8"/>
        <v>0</v>
      </c>
      <c r="AF12" s="101">
        <f t="shared" si="8"/>
        <v>0</v>
      </c>
      <c r="AG12" s="101">
        <f t="shared" si="8"/>
        <v>0</v>
      </c>
      <c r="AI12" s="109">
        <f t="shared" ref="AI12:AI19" si="9">AI11+$AI$6*LOG10(2)</f>
        <v>0.69669949284556909</v>
      </c>
      <c r="AJ12" s="109">
        <f t="shared" si="7"/>
        <v>0.78700849154476338</v>
      </c>
      <c r="AK12" s="109">
        <f t="shared" ref="AK12:AK19" si="10">AK11+$AK$6*LOG10(2)</f>
        <v>0.87731749024395778</v>
      </c>
      <c r="AM12" s="103" t="s">
        <v>26</v>
      </c>
      <c r="AN12" s="102">
        <v>-3</v>
      </c>
      <c r="AO12" s="102">
        <v>-2.67</v>
      </c>
      <c r="AP12" s="102">
        <v>-2.33</v>
      </c>
      <c r="AQ12" s="103">
        <v>-2</v>
      </c>
      <c r="AR12" s="103">
        <v>-1.67</v>
      </c>
      <c r="AS12" s="103">
        <v>-1.33</v>
      </c>
      <c r="AT12" s="103">
        <v>-1</v>
      </c>
      <c r="AU12" s="103">
        <v>-0.67</v>
      </c>
      <c r="AV12" s="103">
        <v>-0.33</v>
      </c>
      <c r="AW12" s="103">
        <v>0</v>
      </c>
      <c r="AX12" s="103">
        <v>0.33</v>
      </c>
      <c r="AY12" s="103">
        <v>0.67</v>
      </c>
      <c r="AZ12" s="103">
        <v>1</v>
      </c>
      <c r="BA12" s="102">
        <v>1.33</v>
      </c>
      <c r="BB12" s="102">
        <v>1.67</v>
      </c>
      <c r="BC12" s="102">
        <v>2</v>
      </c>
      <c r="BG12">
        <v>6</v>
      </c>
      <c r="BH12" s="75">
        <v>30</v>
      </c>
    </row>
    <row r="13" spans="1:68" x14ac:dyDescent="0.2">
      <c r="A13" s="18" t="s">
        <v>27</v>
      </c>
      <c r="B13" s="19">
        <v>0.85</v>
      </c>
      <c r="C13" s="93"/>
      <c r="D13" s="19"/>
      <c r="E13" s="19"/>
      <c r="F13" s="19"/>
      <c r="G13" s="20"/>
      <c r="I13" s="74"/>
      <c r="K13" s="75"/>
      <c r="L13" s="75"/>
      <c r="M13" s="75"/>
      <c r="N13" s="75"/>
      <c r="O13" s="76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B13" s="17">
        <f t="shared" ref="AB13:AG13" si="11">HLOOKUP(B$21,$AN$6:$BC$20,8)+IF(RIGHT(B$26,1)=".",100,0)</f>
        <v>0.33</v>
      </c>
      <c r="AC13" s="17">
        <f t="shared" si="11"/>
        <v>1</v>
      </c>
      <c r="AD13" s="17">
        <f t="shared" si="11"/>
        <v>1</v>
      </c>
      <c r="AE13" s="17">
        <f t="shared" si="11"/>
        <v>1</v>
      </c>
      <c r="AF13" s="17">
        <f t="shared" si="11"/>
        <v>1</v>
      </c>
      <c r="AG13" s="17">
        <f t="shared" si="11"/>
        <v>1</v>
      </c>
      <c r="AI13">
        <f t="shared" si="9"/>
        <v>0.8622659904607588</v>
      </c>
      <c r="AJ13">
        <f t="shared" si="7"/>
        <v>0.98267798872635115</v>
      </c>
      <c r="AK13">
        <f t="shared" si="10"/>
        <v>1.1030899869919437</v>
      </c>
      <c r="AM13" s="9" t="s">
        <v>28</v>
      </c>
      <c r="AN13">
        <v>-2</v>
      </c>
      <c r="AO13">
        <v>-1.67</v>
      </c>
      <c r="AP13">
        <v>-1.33</v>
      </c>
      <c r="AQ13" s="9">
        <v>-1</v>
      </c>
      <c r="AR13" s="9">
        <v>-0.67</v>
      </c>
      <c r="AS13" s="9">
        <v>-0.33</v>
      </c>
      <c r="AT13" s="9">
        <v>0</v>
      </c>
      <c r="AU13" s="9">
        <v>0.33</v>
      </c>
      <c r="AV13" s="9">
        <v>0.67</v>
      </c>
      <c r="AW13" s="9">
        <v>1</v>
      </c>
      <c r="AX13" s="9">
        <v>1.33</v>
      </c>
      <c r="AY13" s="9">
        <v>1.67</v>
      </c>
      <c r="AZ13" s="9">
        <v>2</v>
      </c>
      <c r="BA13">
        <v>2.33</v>
      </c>
      <c r="BB13">
        <v>2.67</v>
      </c>
      <c r="BC13">
        <v>3</v>
      </c>
      <c r="BF13" s="75"/>
      <c r="BG13">
        <v>5</v>
      </c>
      <c r="BH13" s="75">
        <v>60</v>
      </c>
    </row>
    <row r="14" spans="1:68" x14ac:dyDescent="0.2">
      <c r="A14" s="18" t="s">
        <v>29</v>
      </c>
      <c r="B14" s="19">
        <v>1.04</v>
      </c>
      <c r="C14" s="94"/>
      <c r="D14" s="19"/>
      <c r="E14" s="19"/>
      <c r="F14" s="19"/>
      <c r="G14" s="20"/>
      <c r="I14" s="74"/>
      <c r="J14" s="75"/>
      <c r="K14" s="75"/>
      <c r="L14" s="75"/>
      <c r="M14" s="75"/>
      <c r="N14" s="75"/>
      <c r="O14" s="76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B14" s="17">
        <f t="shared" ref="AB14:AG14" si="12">HLOOKUP(B$21,$AN$6:$BC$20,9)+IF(RIGHT(B$26,1)=".",100,0)</f>
        <v>1.33</v>
      </c>
      <c r="AC14" s="17">
        <f t="shared" si="12"/>
        <v>2</v>
      </c>
      <c r="AD14" s="17">
        <f t="shared" si="12"/>
        <v>2</v>
      </c>
      <c r="AE14" s="17">
        <f t="shared" si="12"/>
        <v>2</v>
      </c>
      <c r="AF14" s="17">
        <f t="shared" si="12"/>
        <v>2</v>
      </c>
      <c r="AG14" s="17">
        <f t="shared" si="12"/>
        <v>2</v>
      </c>
      <c r="AI14">
        <f t="shared" si="9"/>
        <v>1.0278324880759484</v>
      </c>
      <c r="AJ14">
        <f t="shared" si="7"/>
        <v>1.178347485907939</v>
      </c>
      <c r="AK14">
        <f t="shared" si="10"/>
        <v>1.3288624837399297</v>
      </c>
      <c r="AM14" s="9" t="s">
        <v>30</v>
      </c>
      <c r="AN14">
        <v>-1</v>
      </c>
      <c r="AO14">
        <v>-0.66999999999999993</v>
      </c>
      <c r="AP14">
        <v>-0.32999999999999996</v>
      </c>
      <c r="AQ14" s="9">
        <v>0</v>
      </c>
      <c r="AR14" s="9">
        <v>0.33</v>
      </c>
      <c r="AS14" s="9">
        <v>0.67</v>
      </c>
      <c r="AT14" s="9">
        <v>1</v>
      </c>
      <c r="AU14" s="9">
        <v>1.33</v>
      </c>
      <c r="AV14" s="9">
        <v>1.67</v>
      </c>
      <c r="AW14" s="9">
        <v>2</v>
      </c>
      <c r="AX14" s="9">
        <v>2.33</v>
      </c>
      <c r="AY14" s="9">
        <v>2.67</v>
      </c>
      <c r="AZ14" s="9">
        <v>3</v>
      </c>
      <c r="BA14">
        <v>3.33</v>
      </c>
      <c r="BB14">
        <v>3.67</v>
      </c>
      <c r="BC14">
        <v>4</v>
      </c>
      <c r="BF14" s="75"/>
      <c r="BG14">
        <v>4</v>
      </c>
      <c r="BH14" s="75">
        <v>125</v>
      </c>
    </row>
    <row r="15" spans="1:68" x14ac:dyDescent="0.2">
      <c r="A15" s="18" t="s">
        <v>31</v>
      </c>
      <c r="B15" s="19">
        <v>1.24</v>
      </c>
      <c r="C15" s="94"/>
      <c r="D15" s="19"/>
      <c r="E15" s="19"/>
      <c r="F15" s="19"/>
      <c r="G15" s="20"/>
      <c r="I15" s="74"/>
      <c r="J15" s="75"/>
      <c r="K15" s="75"/>
      <c r="L15" s="75"/>
      <c r="M15" s="75"/>
      <c r="N15" s="75"/>
      <c r="O15" s="76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B15" s="17">
        <f t="shared" ref="AB15:AG15" si="13">HLOOKUP(B$21,$AN$6:$BC$20,10)+IF(RIGHT(B$26,1)=".",100,0)</f>
        <v>2.33</v>
      </c>
      <c r="AC15" s="17">
        <f t="shared" si="13"/>
        <v>3</v>
      </c>
      <c r="AD15" s="17">
        <f t="shared" si="13"/>
        <v>3</v>
      </c>
      <c r="AE15" s="17">
        <f t="shared" si="13"/>
        <v>3</v>
      </c>
      <c r="AF15" s="17">
        <f t="shared" si="13"/>
        <v>3</v>
      </c>
      <c r="AG15" s="17">
        <f t="shared" si="13"/>
        <v>3</v>
      </c>
      <c r="AI15">
        <f t="shared" si="9"/>
        <v>1.193398985691138</v>
      </c>
      <c r="AJ15">
        <f t="shared" si="7"/>
        <v>1.3740169830895268</v>
      </c>
      <c r="AK15">
        <f t="shared" si="10"/>
        <v>1.5546349804879156</v>
      </c>
      <c r="AM15" s="9" t="s">
        <v>32</v>
      </c>
      <c r="AN15">
        <v>0</v>
      </c>
      <c r="AO15">
        <v>0.33000000000000007</v>
      </c>
      <c r="AP15">
        <v>0.66999999999999993</v>
      </c>
      <c r="AQ15" s="9">
        <v>1</v>
      </c>
      <c r="AR15" s="9">
        <v>1.33</v>
      </c>
      <c r="AS15" s="9">
        <v>1.67</v>
      </c>
      <c r="AT15" s="9">
        <v>2</v>
      </c>
      <c r="AU15" s="9">
        <v>2.33</v>
      </c>
      <c r="AV15" s="9">
        <v>2.67</v>
      </c>
      <c r="AW15" s="9">
        <v>3</v>
      </c>
      <c r="AX15" s="9">
        <v>3.33</v>
      </c>
      <c r="AY15" s="9">
        <v>3.67</v>
      </c>
      <c r="AZ15" s="9">
        <v>4</v>
      </c>
      <c r="BA15">
        <v>4.33</v>
      </c>
      <c r="BB15">
        <v>4.67</v>
      </c>
      <c r="BC15">
        <v>5</v>
      </c>
      <c r="BF15" s="75"/>
      <c r="BG15">
        <v>3</v>
      </c>
      <c r="BH15" s="75">
        <v>250</v>
      </c>
    </row>
    <row r="16" spans="1:68" x14ac:dyDescent="0.2">
      <c r="A16" s="18" t="s">
        <v>33</v>
      </c>
      <c r="B16" s="19">
        <v>1.42</v>
      </c>
      <c r="C16" s="94"/>
      <c r="D16" s="19"/>
      <c r="E16" s="19"/>
      <c r="F16" s="19"/>
      <c r="G16" s="20"/>
      <c r="I16" s="74"/>
      <c r="J16" s="75"/>
      <c r="K16" s="75"/>
      <c r="L16" s="75"/>
      <c r="M16" s="75"/>
      <c r="N16" s="75"/>
      <c r="O16" s="76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B16" s="17">
        <f t="shared" ref="AB16:AG16" si="14">HLOOKUP(B$21,$AN$6:$BC$20,11)+IF(RIGHT(B$26,1)=".",100,0)</f>
        <v>3.33</v>
      </c>
      <c r="AC16" s="17">
        <f t="shared" si="14"/>
        <v>4</v>
      </c>
      <c r="AD16" s="17">
        <f t="shared" si="14"/>
        <v>4</v>
      </c>
      <c r="AE16" s="17">
        <f t="shared" si="14"/>
        <v>4</v>
      </c>
      <c r="AF16" s="17">
        <f t="shared" si="14"/>
        <v>4</v>
      </c>
      <c r="AG16" s="17">
        <f t="shared" si="14"/>
        <v>4</v>
      </c>
      <c r="AI16">
        <f t="shared" si="9"/>
        <v>1.3589654833063276</v>
      </c>
      <c r="AJ16">
        <f t="shared" si="7"/>
        <v>1.5696864802711146</v>
      </c>
      <c r="AK16">
        <f t="shared" si="10"/>
        <v>1.7804074772359015</v>
      </c>
      <c r="AM16" s="9" t="s">
        <v>34</v>
      </c>
      <c r="AN16">
        <v>1</v>
      </c>
      <c r="AO16">
        <v>1.33</v>
      </c>
      <c r="AP16">
        <v>1.67</v>
      </c>
      <c r="AQ16" s="9">
        <v>2</v>
      </c>
      <c r="AR16" s="9">
        <v>2.33</v>
      </c>
      <c r="AS16" s="9">
        <v>2.67</v>
      </c>
      <c r="AT16" s="9">
        <v>3</v>
      </c>
      <c r="AU16" s="9">
        <v>3.33</v>
      </c>
      <c r="AV16" s="9">
        <v>3.67</v>
      </c>
      <c r="AW16" s="9">
        <v>4</v>
      </c>
      <c r="AX16" s="9">
        <v>4.33</v>
      </c>
      <c r="AY16" s="9">
        <v>4.67</v>
      </c>
      <c r="AZ16" s="9">
        <v>5</v>
      </c>
      <c r="BA16">
        <v>5.33</v>
      </c>
      <c r="BB16">
        <v>5.67</v>
      </c>
      <c r="BC16">
        <v>6</v>
      </c>
      <c r="BF16" s="75"/>
      <c r="BG16">
        <v>2</v>
      </c>
      <c r="BH16" s="75">
        <v>500</v>
      </c>
    </row>
    <row r="17" spans="1:60" x14ac:dyDescent="0.2">
      <c r="A17" s="18" t="s">
        <v>62</v>
      </c>
      <c r="B17" s="19">
        <v>1.58</v>
      </c>
      <c r="C17" s="21"/>
      <c r="D17" s="19"/>
      <c r="E17" s="19"/>
      <c r="F17" s="19"/>
      <c r="G17" s="20"/>
      <c r="I17" s="74"/>
      <c r="J17" s="75"/>
      <c r="K17" s="75"/>
      <c r="L17" s="75"/>
      <c r="M17" s="75"/>
      <c r="N17" s="75"/>
      <c r="O17" s="76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B17" s="17">
        <f t="shared" ref="AB17:AG17" si="15">HLOOKUP(B$21,$AN$6:$BC$20,12)+IF(RIGHT(B$26,1)=".",100,0)</f>
        <v>4.33</v>
      </c>
      <c r="AC17" s="17">
        <f t="shared" si="15"/>
        <v>5</v>
      </c>
      <c r="AD17" s="17">
        <f t="shared" si="15"/>
        <v>5</v>
      </c>
      <c r="AE17" s="17">
        <f t="shared" si="15"/>
        <v>5</v>
      </c>
      <c r="AF17" s="17">
        <f t="shared" si="15"/>
        <v>5</v>
      </c>
      <c r="AG17" s="17">
        <f t="shared" si="15"/>
        <v>5</v>
      </c>
      <c r="AI17">
        <f t="shared" si="9"/>
        <v>1.5245319809215172</v>
      </c>
      <c r="AJ17">
        <f t="shared" si="7"/>
        <v>1.7653559774527023</v>
      </c>
      <c r="AK17">
        <f t="shared" si="10"/>
        <v>2.0061799739838873</v>
      </c>
      <c r="AM17" s="9" t="s">
        <v>35</v>
      </c>
      <c r="AN17">
        <v>2</v>
      </c>
      <c r="AO17">
        <v>2.33</v>
      </c>
      <c r="AP17">
        <v>2.67</v>
      </c>
      <c r="AQ17" s="9">
        <v>3</v>
      </c>
      <c r="AR17" s="9">
        <v>3.33</v>
      </c>
      <c r="AS17" s="9">
        <v>3.67</v>
      </c>
      <c r="AT17" s="9">
        <v>4</v>
      </c>
      <c r="AU17" s="9">
        <v>4.33</v>
      </c>
      <c r="AV17" s="9">
        <v>4.67</v>
      </c>
      <c r="AW17" s="9">
        <v>5</v>
      </c>
      <c r="AX17" s="9">
        <v>5.33</v>
      </c>
      <c r="AY17" s="9">
        <v>5.67</v>
      </c>
      <c r="AZ17" s="9">
        <v>6</v>
      </c>
      <c r="BA17">
        <v>6.33</v>
      </c>
      <c r="BB17">
        <v>6.67</v>
      </c>
      <c r="BC17">
        <v>7</v>
      </c>
      <c r="BF17" s="75"/>
      <c r="BG17">
        <v>1</v>
      </c>
      <c r="BH17" s="75">
        <v>1000</v>
      </c>
    </row>
    <row r="18" spans="1:60" x14ac:dyDescent="0.2">
      <c r="A18" s="22" t="s">
        <v>36</v>
      </c>
      <c r="B18" s="19">
        <v>1.72</v>
      </c>
      <c r="C18" s="21"/>
      <c r="D18" s="19"/>
      <c r="E18" s="19"/>
      <c r="F18" s="19"/>
      <c r="G18" s="20"/>
      <c r="I18" s="74"/>
      <c r="J18" s="75"/>
      <c r="K18" s="75"/>
      <c r="L18" s="75"/>
      <c r="M18" s="75"/>
      <c r="N18" s="75"/>
      <c r="O18" s="76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B18" s="17">
        <f t="shared" ref="AB18:AG18" si="16">HLOOKUP(B$21,$AN$6:$BC$20,13)+IF(RIGHT(B$26,1)=".",100,0)</f>
        <v>5.33</v>
      </c>
      <c r="AC18" s="17">
        <f t="shared" si="16"/>
        <v>6</v>
      </c>
      <c r="AD18" s="17">
        <f t="shared" si="16"/>
        <v>6</v>
      </c>
      <c r="AE18" s="17">
        <f t="shared" si="16"/>
        <v>6</v>
      </c>
      <c r="AF18" s="17">
        <f t="shared" si="16"/>
        <v>6</v>
      </c>
      <c r="AG18" s="17">
        <f t="shared" si="16"/>
        <v>6</v>
      </c>
      <c r="AI18">
        <f t="shared" si="9"/>
        <v>1.6900984785367068</v>
      </c>
      <c r="AJ18">
        <f t="shared" si="7"/>
        <v>1.9610254746342901</v>
      </c>
      <c r="AK18">
        <f t="shared" si="10"/>
        <v>2.2319524707318732</v>
      </c>
      <c r="AN18">
        <v>3</v>
      </c>
      <c r="AO18">
        <v>3.33</v>
      </c>
      <c r="AP18">
        <v>3.67</v>
      </c>
      <c r="AQ18" s="9">
        <v>4</v>
      </c>
      <c r="AR18" s="9">
        <v>4.33</v>
      </c>
      <c r="AS18" s="9">
        <v>4.67</v>
      </c>
      <c r="AT18" s="9">
        <v>5</v>
      </c>
      <c r="AU18" s="9">
        <v>5.33</v>
      </c>
      <c r="AV18" s="9">
        <v>5.67</v>
      </c>
      <c r="AW18" s="9">
        <v>6</v>
      </c>
      <c r="AX18" s="9">
        <v>6.33</v>
      </c>
      <c r="AY18" s="9">
        <v>6.67</v>
      </c>
      <c r="AZ18" s="9">
        <v>7</v>
      </c>
      <c r="BA18">
        <v>7.33</v>
      </c>
      <c r="BB18">
        <v>7.67</v>
      </c>
      <c r="BC18">
        <v>8</v>
      </c>
      <c r="BF18" s="78"/>
      <c r="BG18">
        <v>0</v>
      </c>
      <c r="BH18" s="75">
        <v>2000</v>
      </c>
    </row>
    <row r="19" spans="1:60" x14ac:dyDescent="0.2">
      <c r="A19" s="22" t="s">
        <v>37</v>
      </c>
      <c r="B19" s="19">
        <v>1.86</v>
      </c>
      <c r="C19" s="21"/>
      <c r="D19" s="19"/>
      <c r="E19" s="19"/>
      <c r="F19" s="19"/>
      <c r="G19" s="20"/>
      <c r="I19" s="74"/>
      <c r="J19" s="75"/>
      <c r="K19" s="75"/>
      <c r="L19" s="75"/>
      <c r="M19" s="75"/>
      <c r="N19" s="75"/>
      <c r="O19" s="76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B19" s="17">
        <f t="shared" ref="AB19:AG19" si="17">HLOOKUP(B$21,$AN$6:$BC$20,14)+IF(RIGHT(B$26,1)=".",100,0)</f>
        <v>6.33</v>
      </c>
      <c r="AC19" s="17">
        <f t="shared" si="17"/>
        <v>7</v>
      </c>
      <c r="AD19" s="17">
        <f t="shared" si="17"/>
        <v>7</v>
      </c>
      <c r="AE19" s="17">
        <f t="shared" si="17"/>
        <v>7</v>
      </c>
      <c r="AF19" s="17">
        <f t="shared" si="17"/>
        <v>7</v>
      </c>
      <c r="AG19" s="17">
        <f t="shared" si="17"/>
        <v>7</v>
      </c>
      <c r="AI19">
        <f t="shared" si="9"/>
        <v>1.8556649761518964</v>
      </c>
      <c r="AJ19">
        <f t="shared" si="7"/>
        <v>2.1566949718158779</v>
      </c>
      <c r="AK19">
        <f t="shared" si="10"/>
        <v>2.4577249674798591</v>
      </c>
      <c r="AN19">
        <v>4</v>
      </c>
      <c r="AO19">
        <v>4.33</v>
      </c>
      <c r="AP19">
        <v>4.67</v>
      </c>
      <c r="AQ19" s="9">
        <v>5</v>
      </c>
      <c r="AR19" s="9">
        <v>5.33</v>
      </c>
      <c r="AS19" s="9">
        <v>5.67</v>
      </c>
      <c r="AT19" s="9">
        <v>6</v>
      </c>
      <c r="AU19" s="9">
        <v>6.33</v>
      </c>
      <c r="AV19" s="9">
        <v>6.67</v>
      </c>
      <c r="AW19" s="9">
        <v>7</v>
      </c>
      <c r="AX19" s="9">
        <v>7.33</v>
      </c>
      <c r="AY19" s="9">
        <v>7.67</v>
      </c>
      <c r="AZ19" s="9">
        <v>8</v>
      </c>
      <c r="BA19">
        <v>8.33</v>
      </c>
      <c r="BB19">
        <v>8.67</v>
      </c>
      <c r="BC19">
        <v>9</v>
      </c>
    </row>
    <row r="20" spans="1:60" ht="13.5" thickBot="1" x14ac:dyDescent="0.25">
      <c r="A20" s="22" t="s">
        <v>38</v>
      </c>
      <c r="B20" s="23"/>
      <c r="C20" s="23"/>
      <c r="D20" s="23"/>
      <c r="E20" s="23"/>
      <c r="F20" s="23"/>
      <c r="G20" s="24"/>
      <c r="H20" s="17"/>
      <c r="I20" s="77"/>
      <c r="J20" s="78"/>
      <c r="K20" s="78"/>
      <c r="L20" s="78"/>
      <c r="M20" s="78"/>
      <c r="N20" s="75"/>
      <c r="O20" s="76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B20" s="17">
        <f t="shared" ref="AB20:AG20" si="18">HLOOKUP(B$21,$AN$6:$BC$20,15)+IF(RIGHT(B$26,1)=".",100,0)</f>
        <v>7.33</v>
      </c>
      <c r="AC20" s="17">
        <f t="shared" si="18"/>
        <v>8</v>
      </c>
      <c r="AD20" s="17">
        <f t="shared" si="18"/>
        <v>8</v>
      </c>
      <c r="AE20" s="17">
        <f t="shared" si="18"/>
        <v>8</v>
      </c>
      <c r="AF20" s="17">
        <f t="shared" si="18"/>
        <v>8</v>
      </c>
      <c r="AG20" s="17">
        <f t="shared" si="18"/>
        <v>8</v>
      </c>
      <c r="AN20">
        <v>5</v>
      </c>
      <c r="AO20">
        <v>5.33</v>
      </c>
      <c r="AP20">
        <v>5.67</v>
      </c>
      <c r="AQ20" s="9">
        <v>6</v>
      </c>
      <c r="AR20" s="9">
        <v>6.33</v>
      </c>
      <c r="AS20" s="9">
        <v>6.67</v>
      </c>
      <c r="AT20" s="9">
        <v>7</v>
      </c>
      <c r="AU20" s="9">
        <v>7.33</v>
      </c>
      <c r="AV20" s="9">
        <v>7.67</v>
      </c>
      <c r="AW20" s="9">
        <v>8</v>
      </c>
      <c r="AX20" s="9">
        <v>8.33</v>
      </c>
      <c r="AY20" s="9">
        <v>8.67</v>
      </c>
      <c r="AZ20" s="9">
        <v>9</v>
      </c>
      <c r="BA20">
        <v>9.33</v>
      </c>
      <c r="BB20">
        <v>9.67</v>
      </c>
      <c r="BC20">
        <v>10</v>
      </c>
    </row>
    <row r="21" spans="1:60" s="29" customFormat="1" x14ac:dyDescent="0.2">
      <c r="A21" s="25" t="str">
        <f>IF(german,"Korrektur um +/- DIN","correction by +/- DIN")</f>
        <v>Korrektur um +/- DIN</v>
      </c>
      <c r="B21" s="26">
        <v>-2</v>
      </c>
      <c r="C21" s="27">
        <v>0</v>
      </c>
      <c r="D21" s="27">
        <v>0</v>
      </c>
      <c r="E21" s="27">
        <v>0</v>
      </c>
      <c r="F21" s="27">
        <v>0</v>
      </c>
      <c r="G21" s="28">
        <v>0</v>
      </c>
      <c r="H21"/>
      <c r="I21" s="74"/>
      <c r="J21" s="75"/>
      <c r="K21" s="75"/>
      <c r="L21" s="75"/>
      <c r="M21" s="75"/>
      <c r="N21" s="75"/>
      <c r="O21" s="76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B21" s="29">
        <f t="shared" ref="AB21:AG21" si="19">SEARCH(":",B6)+1</f>
        <v>4</v>
      </c>
      <c r="AC21" s="29" t="e">
        <f t="shared" si="19"/>
        <v>#VALUE!</v>
      </c>
      <c r="AD21" s="29" t="e">
        <f t="shared" si="19"/>
        <v>#VALUE!</v>
      </c>
      <c r="AE21" s="29" t="e">
        <f t="shared" si="19"/>
        <v>#VALUE!</v>
      </c>
      <c r="AF21" s="29" t="e">
        <f t="shared" si="19"/>
        <v>#VALUE!</v>
      </c>
      <c r="AG21" s="29" t="e">
        <f t="shared" si="19"/>
        <v>#VALUE!</v>
      </c>
      <c r="AO21"/>
    </row>
    <row r="22" spans="1:60" s="29" customFormat="1" x14ac:dyDescent="0.2">
      <c r="A22" s="30" t="str">
        <f>IF(german,"tatsächlich ISO/°","real speed ISO/°")</f>
        <v>tatsächlich ISO/°</v>
      </c>
      <c r="B22" s="31" t="str">
        <f t="shared" ref="B22:G22" si="20">AB3&amp;"/"&amp;AB2&amp;"°"</f>
        <v>64/19°</v>
      </c>
      <c r="C22" s="32" t="str">
        <f t="shared" si="20"/>
        <v>100/21°</v>
      </c>
      <c r="D22" s="32" t="str">
        <f t="shared" si="20"/>
        <v>100/21°</v>
      </c>
      <c r="E22" s="32" t="str">
        <f t="shared" si="20"/>
        <v>100/21°</v>
      </c>
      <c r="F22" s="32" t="str">
        <f t="shared" si="20"/>
        <v>100/21°</v>
      </c>
      <c r="G22" s="33" t="str">
        <f t="shared" si="20"/>
        <v>100/21°</v>
      </c>
      <c r="H22"/>
      <c r="I22" s="74"/>
      <c r="J22" s="75"/>
      <c r="K22" s="75"/>
      <c r="L22" s="75"/>
      <c r="M22" s="75"/>
      <c r="N22" s="75"/>
      <c r="O22" s="76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29" t="s">
        <v>77</v>
      </c>
      <c r="AB22" s="29">
        <f>ROUND(B$21/3,0)</f>
        <v>-1</v>
      </c>
      <c r="AC22" s="29">
        <f t="shared" ref="AC22:AG22" si="21">ROUND(C$21/3,0)</f>
        <v>0</v>
      </c>
      <c r="AD22" s="29">
        <f t="shared" si="21"/>
        <v>0</v>
      </c>
      <c r="AE22" s="29">
        <f t="shared" si="21"/>
        <v>0</v>
      </c>
      <c r="AF22" s="29">
        <f t="shared" si="21"/>
        <v>0</v>
      </c>
      <c r="AG22" s="29">
        <f t="shared" si="21"/>
        <v>0</v>
      </c>
      <c r="AO22"/>
    </row>
    <row r="23" spans="1:60" ht="13.5" thickBot="1" x14ac:dyDescent="0.25">
      <c r="A23" s="35" t="str">
        <f>IF(german,"gamma =","gamma =")</f>
        <v>gamma =</v>
      </c>
      <c r="B23" s="36">
        <f t="shared" ref="B23:G23" ca="1" si="22">IF(AB46&lt;0,"--",AB46)</f>
        <v>0.64999999999999991</v>
      </c>
      <c r="C23" s="37" t="str">
        <f t="shared" ca="1" si="22"/>
        <v>--</v>
      </c>
      <c r="D23" s="38" t="str">
        <f t="shared" ca="1" si="22"/>
        <v>--</v>
      </c>
      <c r="E23" s="39" t="str">
        <f t="shared" ca="1" si="22"/>
        <v>--</v>
      </c>
      <c r="F23" s="40" t="str">
        <f t="shared" ca="1" si="22"/>
        <v>--</v>
      </c>
      <c r="G23" s="41" t="str">
        <f t="shared" ca="1" si="22"/>
        <v>--</v>
      </c>
      <c r="I23" s="74"/>
      <c r="J23" s="75"/>
      <c r="K23" s="75"/>
      <c r="L23" s="75"/>
      <c r="M23" s="75"/>
      <c r="N23" s="75"/>
      <c r="O23" s="76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B23" s="34" t="str">
        <f t="shared" ref="AB23:AG23" si="23">ADDRESS(ROW(B14)-AB22,COLUMN(B14),4)</f>
        <v>B15</v>
      </c>
      <c r="AC23" s="34" t="str">
        <f t="shared" si="23"/>
        <v>C14</v>
      </c>
      <c r="AD23" s="34" t="str">
        <f t="shared" si="23"/>
        <v>D14</v>
      </c>
      <c r="AE23" s="34" t="str">
        <f t="shared" si="23"/>
        <v>E14</v>
      </c>
      <c r="AF23" s="34" t="str">
        <f t="shared" si="23"/>
        <v>F14</v>
      </c>
      <c r="AG23" s="34" t="str">
        <f t="shared" si="23"/>
        <v>G14</v>
      </c>
      <c r="AO23" s="29"/>
    </row>
    <row r="24" spans="1:60" x14ac:dyDescent="0.2">
      <c r="A24" s="42" t="str">
        <f>IF(german,"gewünschtes gamma =","target value gamma =")</f>
        <v>gewünschtes gamma =</v>
      </c>
      <c r="B24" s="43">
        <v>0.55000000000000004</v>
      </c>
      <c r="C24" s="44">
        <v>0.55000000000000004</v>
      </c>
      <c r="D24" s="44">
        <v>0.55000000000000004</v>
      </c>
      <c r="E24" s="44">
        <v>0.55000000000000004</v>
      </c>
      <c r="F24" s="44">
        <v>0.55000000000000004</v>
      </c>
      <c r="G24" s="45">
        <v>0.55000000000000004</v>
      </c>
      <c r="I24" s="74"/>
      <c r="J24" s="75"/>
      <c r="K24" s="75"/>
      <c r="L24" s="75"/>
      <c r="M24" s="75"/>
      <c r="N24" s="75"/>
      <c r="O24" s="76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B24" s="34" t="str">
        <f t="shared" ref="AB24:AG24" si="24">ADDRESS(ROW(B10)-AB22,COLUMN(B10),4)</f>
        <v>B11</v>
      </c>
      <c r="AC24" s="34" t="str">
        <f t="shared" si="24"/>
        <v>C10</v>
      </c>
      <c r="AD24" s="34" t="str">
        <f t="shared" si="24"/>
        <v>D10</v>
      </c>
      <c r="AE24" s="34" t="str">
        <f t="shared" si="24"/>
        <v>E10</v>
      </c>
      <c r="AF24" s="34" t="str">
        <f t="shared" si="24"/>
        <v>F10</v>
      </c>
      <c r="AG24" s="34" t="str">
        <f t="shared" si="24"/>
        <v>G10</v>
      </c>
    </row>
    <row r="25" spans="1:60" ht="13.5" thickBot="1" x14ac:dyDescent="0.25">
      <c r="A25" s="13" t="str">
        <f>IF(german,"neue Entwicklungszeit =","new development time =")</f>
        <v>neue Entwicklungszeit =</v>
      </c>
      <c r="B25" s="46" t="str">
        <f t="shared" ref="B25:G25" ca="1" si="25">IF(ISNUMBER(AB26),TEXT(AB27/1440,"mm:ss"),"--")</f>
        <v>07:45</v>
      </c>
      <c r="C25" s="47" t="str">
        <f t="shared" ca="1" si="25"/>
        <v>--</v>
      </c>
      <c r="D25" s="47" t="str">
        <f t="shared" ca="1" si="25"/>
        <v>--</v>
      </c>
      <c r="E25" s="47" t="str">
        <f t="shared" ca="1" si="25"/>
        <v>--</v>
      </c>
      <c r="F25" s="47" t="str">
        <f t="shared" ca="1" si="25"/>
        <v>--</v>
      </c>
      <c r="G25" s="48" t="str">
        <f t="shared" ca="1" si="25"/>
        <v>--</v>
      </c>
      <c r="I25" s="74"/>
      <c r="J25" s="75"/>
      <c r="K25" s="75"/>
      <c r="L25" s="75"/>
      <c r="M25" s="75"/>
      <c r="N25" s="75"/>
      <c r="O25" s="76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B25" s="17">
        <f t="shared" ref="AB25:AG25" si="26">IF(ISERROR(SEARCH(":",B6,AB21)),LEFT(B6,SEARCH(":",B6)-1)+MID(B6,AB21,2)/60,#N/A)</f>
        <v>10.25</v>
      </c>
      <c r="AC25" s="17" t="e">
        <f t="shared" si="26"/>
        <v>#VALUE!</v>
      </c>
      <c r="AD25" s="17" t="e">
        <f t="shared" si="26"/>
        <v>#VALUE!</v>
      </c>
      <c r="AE25" s="17" t="e">
        <f t="shared" si="26"/>
        <v>#VALUE!</v>
      </c>
      <c r="AF25" s="17" t="e">
        <f t="shared" si="26"/>
        <v>#VALUE!</v>
      </c>
      <c r="AG25" s="17" t="e">
        <f t="shared" si="26"/>
        <v>#VALUE!</v>
      </c>
    </row>
    <row r="26" spans="1:60" x14ac:dyDescent="0.2">
      <c r="A26" s="29" t="s">
        <v>86</v>
      </c>
      <c r="B26" s="64" t="s">
        <v>84</v>
      </c>
      <c r="C26" s="65"/>
      <c r="D26" s="65"/>
      <c r="E26" s="65"/>
      <c r="F26" s="65"/>
      <c r="G26" s="66"/>
      <c r="I26" s="74"/>
      <c r="J26" s="75"/>
      <c r="K26" s="75"/>
      <c r="L26" s="75"/>
      <c r="M26" s="75"/>
      <c r="N26" s="75"/>
      <c r="O26" s="76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B26">
        <f t="shared" ref="AB26:AG26" ca="1" si="27">EXP(2.8*B24)/EXP(2.8*B23)</f>
        <v>0.75578374145572569</v>
      </c>
      <c r="AC26" t="e">
        <f t="shared" ca="1" si="27"/>
        <v>#VALUE!</v>
      </c>
      <c r="AD26" t="e">
        <f t="shared" ca="1" si="27"/>
        <v>#VALUE!</v>
      </c>
      <c r="AE26" t="e">
        <f t="shared" ca="1" si="27"/>
        <v>#VALUE!</v>
      </c>
      <c r="AF26" t="e">
        <f t="shared" ca="1" si="27"/>
        <v>#VALUE!</v>
      </c>
      <c r="AG26" t="e">
        <f t="shared" ca="1" si="27"/>
        <v>#VALUE!</v>
      </c>
    </row>
    <row r="27" spans="1:60" ht="13.5" thickBot="1" x14ac:dyDescent="0.25">
      <c r="A27" s="29" t="s">
        <v>87</v>
      </c>
      <c r="B27" s="67" t="s">
        <v>55</v>
      </c>
      <c r="C27" s="68"/>
      <c r="D27" s="68"/>
      <c r="E27" s="68"/>
      <c r="F27" s="68"/>
      <c r="G27" s="69"/>
      <c r="I27" s="79"/>
      <c r="J27" s="80"/>
      <c r="K27" s="80"/>
      <c r="L27" s="80"/>
      <c r="M27" s="80"/>
      <c r="N27" s="80"/>
      <c r="O27" s="81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B27">
        <f ca="1">AB25*AB26</f>
        <v>7.7467833499211887</v>
      </c>
      <c r="AC27" t="e">
        <f t="shared" ref="AC27:AG27" ca="1" si="28">AC25*AC26</f>
        <v>#VALUE!</v>
      </c>
      <c r="AD27" t="e">
        <f t="shared" ca="1" si="28"/>
        <v>#VALUE!</v>
      </c>
      <c r="AE27" t="e">
        <f t="shared" ca="1" si="28"/>
        <v>#VALUE!</v>
      </c>
      <c r="AF27" t="e">
        <f t="shared" ca="1" si="28"/>
        <v>#VALUE!</v>
      </c>
      <c r="AG27" t="e">
        <f t="shared" ca="1" si="28"/>
        <v>#VALUE!</v>
      </c>
    </row>
    <row r="28" spans="1:60" x14ac:dyDescent="0.2">
      <c r="I28" s="84"/>
      <c r="J28" s="84"/>
      <c r="K28" s="84"/>
      <c r="L28" s="84"/>
      <c r="M28" s="84"/>
      <c r="N28" s="84"/>
      <c r="O28" s="84"/>
    </row>
    <row r="29" spans="1:60" x14ac:dyDescent="0.2">
      <c r="I29" s="112" t="str">
        <f>IF(german,"Belichtungsreihe für Test","Test exposures")</f>
        <v>Belichtungsreihe für Test</v>
      </c>
      <c r="J29" s="113"/>
      <c r="AB29" t="s">
        <v>63</v>
      </c>
    </row>
    <row r="30" spans="1:60" x14ac:dyDescent="0.2">
      <c r="I30" s="91" t="str">
        <f>IF(german,"Beli: EV =","meter: EV =")</f>
        <v>Beli: EV =</v>
      </c>
      <c r="J30" s="97">
        <v>9</v>
      </c>
      <c r="K30" t="str">
        <f>IF(german,"&lt;-- EV-Wert nach Belichtungsmesser (=Zone V)","&lt;-- EV according to light meter (= Zone V)")</f>
        <v>&lt;-- EV-Wert nach Belichtungsmesser (=Zone V)</v>
      </c>
      <c r="AB30" s="29">
        <f t="shared" ref="AB30:AB32" si="29">IF(AND(ISNUMBER(B7),ISNUMBER(B9)),(B9-B7)/0.6,IF(AND(ISNUMBER(B8),ISNUMBER(B9)),(B9-B8)/0.3,-99))</f>
        <v>0.2</v>
      </c>
      <c r="AC30" s="29">
        <f t="shared" ref="AC30:AC33" si="30">IF(AND(ISNUMBER(C7),ISNUMBER(C9)),(C9-C7)/0.6,IF(AND(ISNUMBER(C8),ISNUMBER(C9)),(C9-C8)/0.3,-99))</f>
        <v>-99</v>
      </c>
      <c r="AD30" s="29">
        <f t="shared" ref="AD30:AD33" si="31">IF(AND(ISNUMBER(D7),ISNUMBER(D9)),(D9-D7)/0.6,IF(AND(ISNUMBER(D8),ISNUMBER(D9)),(D9-D8)/0.3,-99))</f>
        <v>-99</v>
      </c>
      <c r="AE30" s="29">
        <f t="shared" ref="AE30:AE33" si="32">IF(AND(ISNUMBER(E7),ISNUMBER(E9)),(E9-E7)/0.6,IF(AND(ISNUMBER(E8),ISNUMBER(E9)),(E9-E8)/0.3,-99))</f>
        <v>-99</v>
      </c>
      <c r="AF30" s="29">
        <f t="shared" ref="AF30:AF33" si="33">IF(AND(ISNUMBER(F7),ISNUMBER(F9)),(F9-F7)/0.6,IF(AND(ISNUMBER(F8),ISNUMBER(F9)),(F9-F8)/0.3,-99))</f>
        <v>-99</v>
      </c>
      <c r="AG30" s="29">
        <f t="shared" ref="AG30:AG33" si="34">IF(AND(ISNUMBER(G7),ISNUMBER(G9)),(G9-G7)/0.6,IF(AND(ISNUMBER(G8),ISNUMBER(G9)),(G9-G8)/0.3,-99))</f>
        <v>-99</v>
      </c>
    </row>
    <row r="31" spans="1:60" x14ac:dyDescent="0.2">
      <c r="I31" s="92" t="str">
        <f>"Zone "&amp;ROMAN(J31)</f>
        <v>Zone I</v>
      </c>
      <c r="J31" s="98">
        <v>1</v>
      </c>
      <c r="K31" t="str">
        <f>IF(german,"&lt;-- aus nachfolgender Tabelle eine Belichtung","&lt;-- select an exposure für this zone")</f>
        <v>&lt;-- aus nachfolgender Tabelle eine Belichtung</v>
      </c>
      <c r="AB31" s="29">
        <f t="shared" si="29"/>
        <v>0.33333333333333337</v>
      </c>
      <c r="AC31" s="29">
        <f t="shared" si="30"/>
        <v>-99</v>
      </c>
      <c r="AD31" s="29">
        <f t="shared" si="31"/>
        <v>-99</v>
      </c>
      <c r="AE31" s="29">
        <f t="shared" si="32"/>
        <v>-99</v>
      </c>
      <c r="AF31" s="29">
        <f t="shared" si="33"/>
        <v>-99</v>
      </c>
      <c r="AG31" s="29">
        <f t="shared" si="34"/>
        <v>-99</v>
      </c>
    </row>
    <row r="32" spans="1:60" x14ac:dyDescent="0.2">
      <c r="I32" s="82"/>
      <c r="J32" s="76"/>
      <c r="K32" t="str">
        <f>IF(german,"     für diese Zone auswählen","     from the table below")</f>
        <v xml:space="preserve">     für diese Zone auswählen</v>
      </c>
      <c r="AB32" s="29">
        <f t="shared" si="29"/>
        <v>0.53333333333333333</v>
      </c>
      <c r="AC32" s="29">
        <f t="shared" si="30"/>
        <v>-99</v>
      </c>
      <c r="AD32" s="29">
        <f t="shared" si="31"/>
        <v>-99</v>
      </c>
      <c r="AE32" s="29">
        <f t="shared" si="32"/>
        <v>-99</v>
      </c>
      <c r="AF32" s="29">
        <f t="shared" si="33"/>
        <v>-99</v>
      </c>
      <c r="AG32" s="29">
        <f t="shared" si="34"/>
        <v>-99</v>
      </c>
    </row>
    <row r="33" spans="8:33" x14ac:dyDescent="0.2">
      <c r="I33" s="87" t="str">
        <f>IF(german,"Blende f/","f-stop")</f>
        <v>Blende f/</v>
      </c>
      <c r="J33" s="88" t="str">
        <f>IF(german,"Zeit in s","time in s")</f>
        <v>Zeit in s</v>
      </c>
      <c r="AB33" s="29">
        <f>IF(AND(ISNUMBER(B10),ISNUMBER(B12)),(B12-B10)/0.6,IF(AND(ISNUMBER(B11),ISNUMBER(B12)),(B12-B11)/0.3,-99))</f>
        <v>0.65</v>
      </c>
      <c r="AC33" s="29">
        <f t="shared" si="30"/>
        <v>-99</v>
      </c>
      <c r="AD33" s="29">
        <f t="shared" si="31"/>
        <v>-99</v>
      </c>
      <c r="AE33" s="29">
        <f t="shared" si="32"/>
        <v>-99</v>
      </c>
      <c r="AF33" s="29">
        <f t="shared" si="33"/>
        <v>-99</v>
      </c>
      <c r="AG33" s="29">
        <f t="shared" si="34"/>
        <v>-99</v>
      </c>
    </row>
    <row r="34" spans="8:33" x14ac:dyDescent="0.2">
      <c r="H34" s="17"/>
      <c r="I34" s="85">
        <v>2</v>
      </c>
      <c r="J34" s="86" t="str">
        <f>"1/"&amp;VLOOKUP($BF$7-3,$BG$7:$BH$18,2,FALSE)</f>
        <v>1/2000</v>
      </c>
      <c r="K34" s="17"/>
      <c r="L34" s="17"/>
      <c r="M34" s="17"/>
      <c r="AA34" s="100" t="s">
        <v>56</v>
      </c>
      <c r="AB34" s="100">
        <f t="shared" ref="AB34" si="35">IF(AND(ISNUMBER(B11),ISNUMBER(B13)),(B13-B11)/0.6,IF(AND(ISNUMBER(B11),ISNUMBER(B12)),(B12-B11)/0.3,-99))</f>
        <v>0.64999999999999991</v>
      </c>
      <c r="AC34" s="100">
        <f t="shared" ref="AC34:AC41" si="36">IF(AND(ISNUMBER(C11),ISNUMBER(C13)),(C13-C11)/0.6,IF(AND(ISNUMBER(C11),ISNUMBER(C12)),(C12-C11)/0.3,-99))</f>
        <v>-99</v>
      </c>
      <c r="AD34" s="100">
        <f t="shared" ref="AD34:AD41" si="37">IF(AND(ISNUMBER(D11),ISNUMBER(D13)),(D13-D11)/0.6,IF(AND(ISNUMBER(D11),ISNUMBER(D12)),(D12-D11)/0.3,-99))</f>
        <v>-99</v>
      </c>
      <c r="AE34" s="100">
        <f t="shared" ref="AE34:AE41" si="38">IF(AND(ISNUMBER(E11),ISNUMBER(E13)),(E13-E11)/0.6,IF(AND(ISNUMBER(E11),ISNUMBER(E12)),(E12-E11)/0.3,-99))</f>
        <v>-99</v>
      </c>
      <c r="AF34" s="100">
        <f t="shared" ref="AF34:AF41" si="39">IF(AND(ISNUMBER(F11),ISNUMBER(F13)),(F13-F11)/0.6,IF(AND(ISNUMBER(F11),ISNUMBER(F12)),(F12-F11)/0.3,-99))</f>
        <v>-99</v>
      </c>
      <c r="AG34" s="100">
        <f t="shared" ref="AG34:AG41" si="40">IF(AND(ISNUMBER(G11),ISNUMBER(G13)),(G13-G11)/0.6,IF(AND(ISNUMBER(G11),ISNUMBER(G12)),(G12-G11)/0.3,-99))</f>
        <v>-99</v>
      </c>
    </row>
    <row r="35" spans="8:33" x14ac:dyDescent="0.2">
      <c r="I35" s="85">
        <v>2.8</v>
      </c>
      <c r="J35" s="86" t="str">
        <f>"1/"&amp;VLOOKUP($BF$7-2,$BG$7:$BH$18,2,FALSE)</f>
        <v>1/1000</v>
      </c>
      <c r="AB35" s="29">
        <f>IF(AND(ISNUMBER(B12),ISNUMBER(B14)),(B14-B12)/0.6,IF(AND(ISNUMBER(B12),ISNUMBER(B13)),(B13-B12)/0.3,-99))</f>
        <v>0.65</v>
      </c>
      <c r="AC35" s="29">
        <f t="shared" si="36"/>
        <v>-99</v>
      </c>
      <c r="AD35" s="29">
        <f t="shared" si="37"/>
        <v>-99</v>
      </c>
      <c r="AE35" s="29">
        <f t="shared" si="38"/>
        <v>-99</v>
      </c>
      <c r="AF35" s="29">
        <f t="shared" si="39"/>
        <v>-99</v>
      </c>
      <c r="AG35" s="29">
        <f t="shared" si="40"/>
        <v>-99</v>
      </c>
    </row>
    <row r="36" spans="8:33" x14ac:dyDescent="0.2">
      <c r="I36" s="85">
        <v>4</v>
      </c>
      <c r="J36" s="86" t="str">
        <f>"1/"&amp;VLOOKUP($BF$7-1,$BG$7:$BH$18,2,FALSE)</f>
        <v>1/500</v>
      </c>
      <c r="AB36" s="29">
        <f t="shared" ref="AB36:AB41" si="41">IF(AND(ISNUMBER(B13),ISNUMBER(B15)),(B15-B13)/0.6,IF(AND(ISNUMBER(B13),ISNUMBER(B14)),(B14-B13)/0.3,-99))</f>
        <v>0.65</v>
      </c>
      <c r="AC36" s="29">
        <f t="shared" si="36"/>
        <v>-99</v>
      </c>
      <c r="AD36" s="29">
        <f t="shared" si="37"/>
        <v>-99</v>
      </c>
      <c r="AE36" s="29">
        <f t="shared" si="38"/>
        <v>-99</v>
      </c>
      <c r="AF36" s="29">
        <f t="shared" si="39"/>
        <v>-99</v>
      </c>
      <c r="AG36" s="29">
        <f t="shared" si="40"/>
        <v>-99</v>
      </c>
    </row>
    <row r="37" spans="8:33" x14ac:dyDescent="0.2">
      <c r="I37" s="85">
        <v>5.6</v>
      </c>
      <c r="J37" s="86" t="str">
        <f>"1/"&amp;VLOOKUP($BF$7,$BG$7:$BH$18,2,FALSE)</f>
        <v>1/250</v>
      </c>
      <c r="AB37" s="29">
        <f t="shared" si="41"/>
        <v>0.63333333333333319</v>
      </c>
      <c r="AC37" s="29">
        <f t="shared" si="36"/>
        <v>-99</v>
      </c>
      <c r="AD37" s="29">
        <f t="shared" si="37"/>
        <v>-99</v>
      </c>
      <c r="AE37" s="29">
        <f t="shared" si="38"/>
        <v>-99</v>
      </c>
      <c r="AF37" s="29">
        <f t="shared" si="39"/>
        <v>-99</v>
      </c>
      <c r="AG37" s="29">
        <f t="shared" si="40"/>
        <v>-99</v>
      </c>
    </row>
    <row r="38" spans="8:33" x14ac:dyDescent="0.2">
      <c r="I38" s="85">
        <v>8</v>
      </c>
      <c r="J38" s="86" t="str">
        <f>"1/"&amp;VLOOKUP($BF$7+1,$BG$7:$BH$18,2,FALSE)</f>
        <v>1/125</v>
      </c>
      <c r="AB38" s="29">
        <f t="shared" si="41"/>
        <v>0.56666666666666687</v>
      </c>
      <c r="AC38" s="29">
        <f t="shared" si="36"/>
        <v>-99</v>
      </c>
      <c r="AD38" s="29">
        <f t="shared" si="37"/>
        <v>-99</v>
      </c>
      <c r="AE38" s="29">
        <f t="shared" si="38"/>
        <v>-99</v>
      </c>
      <c r="AF38" s="29">
        <f t="shared" si="39"/>
        <v>-99</v>
      </c>
      <c r="AG38" s="29">
        <f t="shared" si="40"/>
        <v>-99</v>
      </c>
    </row>
    <row r="39" spans="8:33" x14ac:dyDescent="0.2">
      <c r="I39" s="85">
        <v>11</v>
      </c>
      <c r="J39" s="86" t="str">
        <f>"1/"&amp;VLOOKUP($BF$7+2,$BG$7:$BH$18,2,FALSE)</f>
        <v>1/60</v>
      </c>
      <c r="AB39" s="29">
        <f t="shared" si="41"/>
        <v>0.50000000000000011</v>
      </c>
      <c r="AC39" s="29">
        <f t="shared" si="36"/>
        <v>-99</v>
      </c>
      <c r="AD39" s="29">
        <f t="shared" si="37"/>
        <v>-99</v>
      </c>
      <c r="AE39" s="29">
        <f t="shared" si="38"/>
        <v>-99</v>
      </c>
      <c r="AF39" s="29">
        <f t="shared" si="39"/>
        <v>-99</v>
      </c>
      <c r="AG39" s="29">
        <f t="shared" si="40"/>
        <v>-99</v>
      </c>
    </row>
    <row r="40" spans="8:33" x14ac:dyDescent="0.2">
      <c r="I40" s="85">
        <v>16</v>
      </c>
      <c r="J40" s="86" t="str">
        <f>"1/"&amp;VLOOKUP($BF$7+3,$BG$7:$BH$18,2,FALSE)</f>
        <v>1/30</v>
      </c>
      <c r="AB40" s="29">
        <f t="shared" si="41"/>
        <v>0.46666666666666673</v>
      </c>
      <c r="AC40" s="29">
        <f t="shared" si="36"/>
        <v>-99</v>
      </c>
      <c r="AD40" s="29">
        <f t="shared" si="37"/>
        <v>-99</v>
      </c>
      <c r="AE40" s="29">
        <f t="shared" si="38"/>
        <v>-99</v>
      </c>
      <c r="AF40" s="29">
        <f t="shared" si="39"/>
        <v>-99</v>
      </c>
      <c r="AG40" s="29">
        <f t="shared" si="40"/>
        <v>-99</v>
      </c>
    </row>
    <row r="41" spans="8:33" x14ac:dyDescent="0.2">
      <c r="I41" s="89">
        <v>22</v>
      </c>
      <c r="J41" s="90" t="str">
        <f>"1/"&amp;VLOOKUP($BF$7+4,$BG$7:$BH$18,2,FALSE)</f>
        <v>1/15</v>
      </c>
      <c r="AB41" s="29">
        <f t="shared" si="41"/>
        <v>0.46666666666666712</v>
      </c>
      <c r="AC41" s="29">
        <f t="shared" si="36"/>
        <v>-99</v>
      </c>
      <c r="AD41" s="29">
        <f t="shared" si="37"/>
        <v>-99</v>
      </c>
      <c r="AE41" s="29">
        <f t="shared" si="38"/>
        <v>-99</v>
      </c>
      <c r="AF41" s="29">
        <f t="shared" si="39"/>
        <v>-99</v>
      </c>
      <c r="AG41" s="29">
        <f t="shared" si="40"/>
        <v>-99</v>
      </c>
    </row>
    <row r="42" spans="8:33" x14ac:dyDescent="0.2">
      <c r="I42" s="99" t="str">
        <f>"+ 0"&amp;IF(german,",",".")&amp;TEXT((J30-INT(J30))*10,"0")</f>
        <v>+ 0,0</v>
      </c>
      <c r="J42" s="96" t="str">
        <f>IF(german,"Blendenstuf.","f-stops")</f>
        <v>Blendenstuf.</v>
      </c>
      <c r="AC42" s="29"/>
      <c r="AD42" s="29"/>
      <c r="AE42" s="29"/>
      <c r="AF42" s="29"/>
      <c r="AG42" s="29"/>
    </row>
    <row r="43" spans="8:33" x14ac:dyDescent="0.2">
      <c r="AB43" s="29" t="str">
        <f>ADDRESS(ROW(AB33)-AB$22,COLUMN(),4)</f>
        <v>AB34</v>
      </c>
      <c r="AC43" s="29" t="str">
        <f t="shared" ref="AC43:AG43" si="42">ADDRESS(ROW(AC33)-AC$22,COLUMN(),4)</f>
        <v>AC33</v>
      </c>
      <c r="AD43" s="29" t="str">
        <f t="shared" si="42"/>
        <v>AD33</v>
      </c>
      <c r="AE43" s="29" t="str">
        <f t="shared" si="42"/>
        <v>AE33</v>
      </c>
      <c r="AF43" s="29" t="str">
        <f t="shared" si="42"/>
        <v>AF33</v>
      </c>
      <c r="AG43" s="29" t="str">
        <f t="shared" si="42"/>
        <v>AG33</v>
      </c>
    </row>
    <row r="44" spans="8:33" x14ac:dyDescent="0.2">
      <c r="I44" t="str">
        <f>IF(german,"Kleinbildfilm: 9 Testaufnahmen Zonen I…IX","35 mm film: 9 test exposures for zones I…IX")</f>
        <v>Kleinbildfilm: 9 Testaufnahmen Zonen I…IX</v>
      </c>
      <c r="AB44" s="29" t="str">
        <f t="shared" ref="AB44:AG45" si="43">ADDRESS(ROW(AB34)-AB$22,COLUMN(),4)</f>
        <v>AB35</v>
      </c>
      <c r="AC44" s="29" t="str">
        <f t="shared" si="43"/>
        <v>AC34</v>
      </c>
      <c r="AD44" s="29" t="str">
        <f t="shared" si="43"/>
        <v>AD34</v>
      </c>
      <c r="AE44" s="29" t="str">
        <f t="shared" si="43"/>
        <v>AE34</v>
      </c>
      <c r="AF44" s="29" t="str">
        <f t="shared" si="43"/>
        <v>AF34</v>
      </c>
      <c r="AG44" s="29" t="str">
        <f t="shared" si="43"/>
        <v>AG34</v>
      </c>
    </row>
    <row r="45" spans="8:33" x14ac:dyDescent="0.2">
      <c r="I45" t="str">
        <f>IF(german,"Filmzunge 76mm weit abschneiden,","Cut film tongue by 76mm length,")</f>
        <v>Filmzunge 76mm weit abschneiden,</v>
      </c>
      <c r="AB45" s="29" t="str">
        <f t="shared" si="43"/>
        <v>AB36</v>
      </c>
      <c r="AC45" s="29" t="str">
        <f t="shared" si="43"/>
        <v>AC35</v>
      </c>
      <c r="AD45" s="29" t="str">
        <f t="shared" si="43"/>
        <v>AD35</v>
      </c>
      <c r="AE45" s="29" t="str">
        <f t="shared" si="43"/>
        <v>AE35</v>
      </c>
      <c r="AF45" s="29" t="str">
        <f t="shared" si="43"/>
        <v>AF35</v>
      </c>
      <c r="AG45" s="29" t="str">
        <f t="shared" si="43"/>
        <v>AG35</v>
      </c>
    </row>
    <row r="46" spans="8:33" x14ac:dyDescent="0.2">
      <c r="I46" t="str">
        <f>IF(german,"456mm Filmlänge in der Dunkelkammer abschneiden.","then cut 456mm film length in darkroom.")</f>
        <v>456mm Filmlänge in der Dunkelkammer abschneiden.</v>
      </c>
      <c r="AA46" s="29" t="s">
        <v>78</v>
      </c>
      <c r="AB46">
        <f t="shared" ref="AB46:AG46" ca="1" si="44">AVERAGE(INDIRECT(AB43),INDIRECT(AB44),INDIRECT(AB45))</f>
        <v>0.64999999999999991</v>
      </c>
      <c r="AC46">
        <f t="shared" ca="1" si="44"/>
        <v>-99</v>
      </c>
      <c r="AD46">
        <f t="shared" ca="1" si="44"/>
        <v>-99</v>
      </c>
      <c r="AE46">
        <f t="shared" ca="1" si="44"/>
        <v>-99</v>
      </c>
      <c r="AF46">
        <f t="shared" ca="1" si="44"/>
        <v>-99</v>
      </c>
      <c r="AG46">
        <f t="shared" ca="1" si="44"/>
        <v>-99</v>
      </c>
    </row>
    <row r="47" spans="8:33" x14ac:dyDescent="0.2">
      <c r="I47" t="str">
        <f>IF(german,"Rest eines 36er-Films reicht für 2 weitere solche Testfilme.","The rest of a film with 36 exp. is enough for 2 more such test films.")</f>
        <v>Rest eines 36er-Films reicht für 2 weitere solche Testfilme.</v>
      </c>
    </row>
    <row r="48" spans="8:33" x14ac:dyDescent="0.2">
      <c r="H48" s="17"/>
      <c r="K48" s="17"/>
      <c r="L48" s="17"/>
      <c r="M48" s="17"/>
      <c r="AA48" s="29" t="s">
        <v>81</v>
      </c>
      <c r="AB48" s="105" t="str">
        <f>IF(german,"Unter-/Überbelichtung in EV-Stufen (Zeit- oder Blendenstufen),"&amp;CHAR(10)&amp;"gestrichelte Linien entsprechen Gammawerten 0,55 / 0,65 / 0,75","Under-/over-exposure in EV (steps of exposure time or aperture),"&amp;CHAR(10)&amp;"dashed lines (- - -) refer to values of gamma = 0.55 / 0.65 / 0.75")</f>
        <v>Unter-/Überbelichtung in EV-Stufen (Zeit- oder Blendenstufen),
gestrichelte Linien entsprechen Gammawerten 0,55 / 0,65 / 0,75</v>
      </c>
    </row>
    <row r="49" spans="8:33" x14ac:dyDescent="0.2">
      <c r="AA49" s="29" t="s">
        <v>82</v>
      </c>
      <c r="AB49" s="105" t="str">
        <f>IF(german,"Dichte, bzw. Partialkontrast (• •)","Density, partial contrast (• •)")</f>
        <v>Dichte, bzw. Partialkontrast (• •)</v>
      </c>
    </row>
    <row r="50" spans="8:33" x14ac:dyDescent="0.2">
      <c r="I50" s="106" t="str">
        <f ca="1">IF(LO_eng,"Because of minor limitations in LibreOffice, captions for the diagram see here:","")</f>
        <v/>
      </c>
      <c r="AA50" s="29" t="s">
        <v>79</v>
      </c>
      <c r="AB50" s="107" t="b">
        <v>1</v>
      </c>
    </row>
    <row r="51" spans="8:33" x14ac:dyDescent="0.2">
      <c r="H51" s="108" t="str">
        <f ca="1">IF(LO_eng,"x-axis:","")</f>
        <v/>
      </c>
      <c r="I51" t="str">
        <f ca="1">IF(LO_eng,"Under-/over-exposure in EV (steps of exposure time or aperture),","")</f>
        <v/>
      </c>
      <c r="AA51" s="29" t="s">
        <v>80</v>
      </c>
      <c r="AB51" t="str">
        <f ca="1">INFO("VERSION")</f>
        <v>15.0</v>
      </c>
      <c r="AF51" s="29" t="s">
        <v>83</v>
      </c>
      <c r="AG51" t="b">
        <f ca="1">IF(AND(LEN(AB51)&gt;16,NOT(german)),TRUE,FALSE)</f>
        <v>0</v>
      </c>
    </row>
    <row r="52" spans="8:33" x14ac:dyDescent="0.2">
      <c r="I52" t="str">
        <f ca="1">IF(LO_eng,"dashed lines (- - -) refer to values of gamma = 0.55 / 0.65 / 0.75","")</f>
        <v/>
      </c>
    </row>
    <row r="53" spans="8:33" x14ac:dyDescent="0.2">
      <c r="H53" s="108" t="str">
        <f ca="1">IF(LO_eng,"y-axis:","")</f>
        <v/>
      </c>
      <c r="I53" t="str">
        <f ca="1">IF(LO_eng,"Density, partial contrast (• •)","")</f>
        <v/>
      </c>
      <c r="AB53" t="s">
        <v>39</v>
      </c>
    </row>
    <row r="54" spans="8:33" ht="15" x14ac:dyDescent="0.2">
      <c r="I54" s="104"/>
      <c r="AB54" s="49">
        <v>40015</v>
      </c>
      <c r="AC54" t="s">
        <v>40</v>
      </c>
    </row>
    <row r="55" spans="8:33" x14ac:dyDescent="0.2">
      <c r="AB55" s="49">
        <v>40022</v>
      </c>
      <c r="AC55" t="s">
        <v>41</v>
      </c>
      <c r="AD55" t="s">
        <v>42</v>
      </c>
    </row>
    <row r="56" spans="8:33" x14ac:dyDescent="0.2">
      <c r="AB56" s="49"/>
      <c r="AD56" t="s">
        <v>43</v>
      </c>
    </row>
    <row r="57" spans="8:33" x14ac:dyDescent="0.2">
      <c r="AB57" s="49">
        <v>40104</v>
      </c>
      <c r="AC57" t="s">
        <v>44</v>
      </c>
      <c r="AD57" t="s">
        <v>45</v>
      </c>
    </row>
    <row r="58" spans="8:33" x14ac:dyDescent="0.2">
      <c r="AB58" s="49">
        <v>39846</v>
      </c>
      <c r="AC58" t="s">
        <v>46</v>
      </c>
      <c r="AD58" t="s">
        <v>47</v>
      </c>
    </row>
    <row r="59" spans="8:33" x14ac:dyDescent="0.2">
      <c r="AB59" s="49">
        <v>40214</v>
      </c>
      <c r="AC59" t="s">
        <v>48</v>
      </c>
      <c r="AD59" t="s">
        <v>49</v>
      </c>
    </row>
    <row r="60" spans="8:33" x14ac:dyDescent="0.2">
      <c r="AB60" s="49">
        <v>40332</v>
      </c>
      <c r="AC60" t="s">
        <v>50</v>
      </c>
      <c r="AD60" t="s">
        <v>51</v>
      </c>
    </row>
    <row r="61" spans="8:33" x14ac:dyDescent="0.2">
      <c r="AB61" s="49">
        <v>40446</v>
      </c>
      <c r="AC61" t="s">
        <v>52</v>
      </c>
      <c r="AD61" t="s">
        <v>53</v>
      </c>
    </row>
    <row r="62" spans="8:33" x14ac:dyDescent="0.2">
      <c r="AB62" s="49">
        <v>41815</v>
      </c>
      <c r="AC62" t="s">
        <v>57</v>
      </c>
      <c r="AD62" t="s">
        <v>58</v>
      </c>
    </row>
    <row r="63" spans="8:33" x14ac:dyDescent="0.2">
      <c r="AB63" s="49">
        <v>44091</v>
      </c>
      <c r="AC63" t="s">
        <v>65</v>
      </c>
      <c r="AD63" t="s">
        <v>71</v>
      </c>
    </row>
    <row r="64" spans="8:33" x14ac:dyDescent="0.2">
      <c r="AB64" s="49">
        <v>44198</v>
      </c>
      <c r="AC64" t="s">
        <v>73</v>
      </c>
      <c r="AD64" t="s">
        <v>72</v>
      </c>
    </row>
    <row r="65" spans="28:30" x14ac:dyDescent="0.2">
      <c r="AB65" s="49">
        <v>44631</v>
      </c>
      <c r="AC65" t="s">
        <v>74</v>
      </c>
      <c r="AD65" t="s">
        <v>75</v>
      </c>
    </row>
    <row r="66" spans="28:30" x14ac:dyDescent="0.2">
      <c r="AB66" s="49">
        <v>44884</v>
      </c>
      <c r="AC66" t="s">
        <v>85</v>
      </c>
      <c r="AD66" t="s">
        <v>76</v>
      </c>
    </row>
    <row r="67" spans="28:30" x14ac:dyDescent="0.2">
      <c r="AB67" s="49">
        <v>44991</v>
      </c>
      <c r="AC67" t="s">
        <v>88</v>
      </c>
      <c r="AD67" t="s">
        <v>89</v>
      </c>
    </row>
  </sheetData>
  <sheetProtection algorithmName="SHA-512" hashValue="xvBMqbfBwcgNusTEj3MuNAI/YauyejKH7xAa/62p3YtgFTA6Bu1TJzPsU1epJxYr3y0Tpt6GJ+VQsR9BzsH+fw==" saltValue="eq1ShA4szYNf2fxB2q9FRQ==" spinCount="100000" sheet="1" objects="1" scenarios="1" selectLockedCells="1"/>
  <mergeCells count="3">
    <mergeCell ref="I4:L4"/>
    <mergeCell ref="I1:L1"/>
    <mergeCell ref="I29:J29"/>
  </mergeCells>
  <conditionalFormatting sqref="B21:G21">
    <cfRule type="cellIs" dxfId="3" priority="4" stopIfTrue="1" operator="notBetween">
      <formula>-9</formula>
      <formula>6</formula>
    </cfRule>
  </conditionalFormatting>
  <conditionalFormatting sqref="J30">
    <cfRule type="expression" dxfId="2" priority="2">
      <formula>(MOD(2*$J$30,1)&gt;0)</formula>
    </cfRule>
  </conditionalFormatting>
  <conditionalFormatting sqref="I42">
    <cfRule type="expression" dxfId="1" priority="1">
      <formula>(MOD($J$30,1)&gt;0)</formula>
    </cfRule>
  </conditionalFormatting>
  <conditionalFormatting sqref="B6:G6">
    <cfRule type="expression" dxfId="0" priority="15" stopIfTrue="1">
      <formula>ISERROR(AB25)</formula>
    </cfRule>
  </conditionalFormatting>
  <dataValidations count="3">
    <dataValidation type="list" allowBlank="1" showInputMessage="1" showErrorMessage="1" errorTitle="Filmempfindlichkeit" error="Gültigen ISO-Wert eingeben!" sqref="B3:G3">
      <formula1>$AI$3:$BP$3</formula1>
    </dataValidation>
    <dataValidation type="whole" operator="greaterThanOrEqual" allowBlank="1" showInputMessage="1" showErrorMessage="1" sqref="J31">
      <formula1>0</formula1>
    </dataValidation>
    <dataValidation type="whole" allowBlank="1" showErrorMessage="1" errorTitle="DIN-Korrektur / Speed offset" error="min. -9_x000a_max. +6" sqref="B21:G21">
      <formula1>-9</formula1>
      <formula2>6</formula2>
    </dataValidation>
  </dataValidations>
  <hyperlinks>
    <hyperlink ref="I1" r:id="rId1"/>
    <hyperlink ref="I4" r:id="rId2"/>
    <hyperlink ref="I4:L4" r:id="rId3" display="www.anzinger-online.de/Foto/filmtest.html"/>
  </hyperlinks>
  <pageMargins left="0.78740157480314965" right="0.19685039370078741" top="0.98425196850393704" bottom="0.98425196850393704" header="0.51181102362204722" footer="0.51181102362204722"/>
  <pageSetup paperSize="9" orientation="portrait" r:id="rId4"/>
  <headerFooter alignWithMargins="0"/>
  <drawing r:id="rId5"/>
  <legacyDrawing r:id="rId6"/>
  <controls>
    <mc:AlternateContent xmlns:mc="http://schemas.openxmlformats.org/markup-compatibility/2006">
      <mc:Choice Requires="x14">
        <control shapeId="1037" r:id="rId7" name="OptionLanguage1">
          <controlPr defaultSize="0" print="0" autoLine="0" linkedCell="$AB$50" r:id="rId8">
            <anchor moveWithCells="1">
              <from>
                <xdr:col>7</xdr:col>
                <xdr:colOff>57150</xdr:colOff>
                <xdr:row>0</xdr:row>
                <xdr:rowOff>0</xdr:rowOff>
              </from>
              <to>
                <xdr:col>7</xdr:col>
                <xdr:colOff>771525</xdr:colOff>
                <xdr:row>1</xdr:row>
                <xdr:rowOff>0</xdr:rowOff>
              </to>
            </anchor>
          </controlPr>
        </control>
      </mc:Choice>
      <mc:Fallback>
        <control shapeId="1037" r:id="rId7" name="OptionLanguage1"/>
      </mc:Fallback>
    </mc:AlternateContent>
    <mc:AlternateContent xmlns:mc="http://schemas.openxmlformats.org/markup-compatibility/2006">
      <mc:Choice Requires="x14">
        <control shapeId="1038" r:id="rId9" name="OptionButton1">
          <controlPr defaultSize="0" print="0" autoLine="0" autoPict="0" r:id="rId10">
            <anchor moveWithCells="1">
              <from>
                <xdr:col>7</xdr:col>
                <xdr:colOff>47625</xdr:colOff>
                <xdr:row>0</xdr:row>
                <xdr:rowOff>209550</xdr:rowOff>
              </from>
              <to>
                <xdr:col>7</xdr:col>
                <xdr:colOff>771525</xdr:colOff>
                <xdr:row>2</xdr:row>
                <xdr:rowOff>0</xdr:rowOff>
              </to>
            </anchor>
          </controlPr>
        </control>
      </mc:Choice>
      <mc:Fallback>
        <control shapeId="1038" r:id="rId9" name="Option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Filmtest</vt:lpstr>
      <vt:lpstr>Filmtest!Druckbereich</vt:lpstr>
      <vt:lpstr>german</vt:lpstr>
      <vt:lpstr>language</vt:lpstr>
      <vt:lpstr>LO_eng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Anzinger</dc:creator>
  <cp:lastModifiedBy>Dr. Manfred Anzinger</cp:lastModifiedBy>
  <cp:lastPrinted>2020-09-21T07:11:09Z</cp:lastPrinted>
  <dcterms:created xsi:type="dcterms:W3CDTF">2010-02-04T18:08:25Z</dcterms:created>
  <dcterms:modified xsi:type="dcterms:W3CDTF">2024-02-22T10:39:19Z</dcterms:modified>
</cp:coreProperties>
</file>